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19425" windowHeight="10365" firstSheet="18" activeTab="2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  <sheet name="Sheet18" sheetId="18" r:id="rId17"/>
    <sheet name="Sheet19" sheetId="19" r:id="rId18"/>
    <sheet name="Sheet20" sheetId="20" r:id="rId19"/>
    <sheet name="Sheet21" sheetId="21" r:id="rId20"/>
    <sheet name="Sheet22" sheetId="22" r:id="rId21"/>
    <sheet name="Sheet23" sheetId="23" r:id="rId22"/>
    <sheet name="Sheet24" sheetId="24" r:id="rId23"/>
    <sheet name="Sheet25" sheetId="25" r:id="rId24"/>
    <sheet name="Sheet26" sheetId="26" r:id="rId25"/>
    <sheet name="Sheet28" sheetId="28" r:id="rId26"/>
    <sheet name="Sheet17" sheetId="17" r:id="rId27"/>
    <sheet name="Sheet27" sheetId="27" r:id="rId28"/>
  </sheets>
  <externalReferences>
    <externalReference r:id="rId29"/>
    <externalReference r:id="rId30"/>
    <externalReference r:id="rId31"/>
    <externalReference r:id="rId32"/>
  </externalReferences>
  <definedNames>
    <definedName name="_xlnm.Print_Area" localSheetId="0">Sheet1!$A$35:$Y$55</definedName>
    <definedName name="_xlnm.Print_Area" localSheetId="9">Sheet10!$A$13:$AC$123</definedName>
    <definedName name="_xlnm.Print_Area" localSheetId="10">Sheet11!$A$12:$Y$137</definedName>
    <definedName name="_xlnm.Print_Area" localSheetId="11">Sheet12!$A$13:$W$144</definedName>
    <definedName name="_xlnm.Print_Area" localSheetId="12">Sheet13!$A$7:$O$129</definedName>
    <definedName name="_xlnm.Print_Area" localSheetId="13">Sheet14!$A$7:$X$130</definedName>
    <definedName name="_xlnm.Print_Area" localSheetId="14">Sheet15!$A$12:$W$105</definedName>
    <definedName name="_xlnm.Print_Area" localSheetId="26">Sheet17!$A$30:$F$40</definedName>
    <definedName name="_xlnm.Print_Area" localSheetId="16">Sheet18!$Z$110:$AA$116</definedName>
    <definedName name="_xlnm.Print_Area" localSheetId="1">Sheet2!$A$7:$O$56</definedName>
    <definedName name="_xlnm.Print_Area" localSheetId="24">Sheet26!$J$95:$L$103</definedName>
    <definedName name="_xlnm.Print_Area" localSheetId="27">Sheet27!$N$5:$N$8</definedName>
    <definedName name="_xlnm.Print_Area" localSheetId="25">Sheet28!$AE$95:$AG$135</definedName>
    <definedName name="_xlnm.Print_Area" localSheetId="2">Sheet3!$AH$37:$AH$47</definedName>
    <definedName name="_xlnm.Print_Area" localSheetId="8">Sheet9!$A$7:$AD$87</definedName>
  </definedNames>
  <calcPr calcId="144525"/>
</workbook>
</file>

<file path=xl/calcChain.xml><?xml version="1.0" encoding="utf-8"?>
<calcChain xmlns="http://schemas.openxmlformats.org/spreadsheetml/2006/main">
  <c r="AJ107" i="28" l="1"/>
  <c r="AJ105" i="28"/>
  <c r="AD100" i="28"/>
  <c r="T56" i="28" l="1"/>
  <c r="AG114" i="28" l="1"/>
  <c r="AG116" i="28" s="1"/>
  <c r="AG133" i="28" l="1"/>
  <c r="AG135" i="28" s="1"/>
  <c r="T59" i="27" l="1"/>
  <c r="T56" i="27"/>
  <c r="T51" i="27"/>
  <c r="P37" i="28"/>
  <c r="AB135" i="28"/>
  <c r="P23" i="27" l="1"/>
  <c r="P22" i="27"/>
  <c r="P21" i="27"/>
  <c r="P20" i="27"/>
  <c r="P19" i="27"/>
  <c r="P18" i="27"/>
  <c r="P17" i="27"/>
  <c r="P16" i="27"/>
  <c r="P157" i="28"/>
  <c r="L36" i="28" l="1"/>
  <c r="O118" i="28" l="1"/>
  <c r="O120" i="28" s="1"/>
  <c r="I132" i="28"/>
  <c r="G137" i="28"/>
  <c r="L118" i="28" l="1"/>
  <c r="L120" i="28" s="1"/>
  <c r="G51" i="28"/>
  <c r="H133" i="28"/>
  <c r="G167" i="28" l="1"/>
  <c r="G166" i="28"/>
  <c r="E19" i="28" l="1"/>
  <c r="E57" i="28" s="1"/>
  <c r="E199" i="28"/>
  <c r="E198" i="28"/>
  <c r="E197" i="28"/>
  <c r="E196" i="28"/>
  <c r="E195" i="28"/>
  <c r="E194" i="28"/>
  <c r="E193" i="28"/>
  <c r="E192" i="28"/>
  <c r="E191" i="28"/>
  <c r="E190" i="28"/>
  <c r="E189" i="28"/>
  <c r="E188" i="28"/>
  <c r="E187" i="28"/>
  <c r="E186" i="28"/>
  <c r="E185" i="28"/>
  <c r="E181" i="28"/>
  <c r="R180" i="28"/>
  <c r="R185" i="28" s="1"/>
  <c r="Q187" i="28" s="1"/>
  <c r="E179" i="28"/>
  <c r="E178" i="28"/>
  <c r="E177" i="28"/>
  <c r="J171" i="28"/>
  <c r="I159" i="28"/>
  <c r="J160" i="28" s="1"/>
  <c r="K157" i="28"/>
  <c r="K156" i="28"/>
  <c r="K155" i="28"/>
  <c r="F149" i="28"/>
  <c r="F150" i="28" s="1"/>
  <c r="U165" i="28"/>
  <c r="R145" i="28"/>
  <c r="N145" i="28"/>
  <c r="J134" i="28"/>
  <c r="AF160" i="28"/>
  <c r="AF162" i="28" s="1"/>
  <c r="AO126" i="28"/>
  <c r="AO128" i="28" s="1"/>
  <c r="AI121" i="28"/>
  <c r="AI123" i="28" s="1"/>
  <c r="Z128" i="28"/>
  <c r="Z132" i="28" s="1"/>
  <c r="S143" i="28"/>
  <c r="AH85" i="28"/>
  <c r="AG85" i="28"/>
  <c r="AF85" i="28"/>
  <c r="AE85" i="28"/>
  <c r="AD85" i="28"/>
  <c r="AC85" i="28"/>
  <c r="AB85" i="28"/>
  <c r="AA85" i="28"/>
  <c r="Z85" i="28"/>
  <c r="Y85" i="28"/>
  <c r="X85" i="28"/>
  <c r="W85" i="28"/>
  <c r="V85" i="28"/>
  <c r="U85" i="28"/>
  <c r="T85" i="28"/>
  <c r="S85" i="28"/>
  <c r="R85" i="28"/>
  <c r="Q85" i="28"/>
  <c r="P85" i="28"/>
  <c r="O85" i="28"/>
  <c r="N85" i="28"/>
  <c r="M85" i="28"/>
  <c r="L85" i="28"/>
  <c r="K85" i="28"/>
  <c r="J85" i="28"/>
  <c r="I85" i="28"/>
  <c r="H85" i="28"/>
  <c r="G85" i="28"/>
  <c r="F85" i="28"/>
  <c r="E85" i="28"/>
  <c r="D85" i="28"/>
  <c r="C85" i="28"/>
  <c r="AI84" i="28"/>
  <c r="AI82" i="28"/>
  <c r="AI81" i="28"/>
  <c r="AI80" i="28"/>
  <c r="AI79" i="28"/>
  <c r="AI78" i="28"/>
  <c r="AI77" i="28"/>
  <c r="AI76" i="28"/>
  <c r="AI75" i="28"/>
  <c r="AI74" i="28"/>
  <c r="AI72" i="28"/>
  <c r="AI71" i="28"/>
  <c r="AI70" i="28"/>
  <c r="AI69" i="28"/>
  <c r="AI63" i="28"/>
  <c r="AI62" i="28"/>
  <c r="AI60" i="28"/>
  <c r="AI59" i="28"/>
  <c r="AI57" i="28"/>
  <c r="AG57" i="28"/>
  <c r="AG86" i="28" s="1"/>
  <c r="AF57" i="28"/>
  <c r="AF86" i="28" s="1"/>
  <c r="AF89" i="28" s="1"/>
  <c r="AC57" i="28"/>
  <c r="AC86" i="28" s="1"/>
  <c r="AC89" i="28" s="1"/>
  <c r="AA57" i="28"/>
  <c r="Z57" i="28"/>
  <c r="Y57" i="28"/>
  <c r="V57" i="28"/>
  <c r="U57" i="28"/>
  <c r="T57" i="28"/>
  <c r="S57" i="28"/>
  <c r="R57" i="28"/>
  <c r="Q57" i="28"/>
  <c r="P57" i="28"/>
  <c r="O57" i="28"/>
  <c r="M57" i="28"/>
  <c r="M86" i="28" s="1"/>
  <c r="M89" i="28" s="1"/>
  <c r="L57" i="28"/>
  <c r="L86" i="28" s="1"/>
  <c r="L89" i="28" s="1"/>
  <c r="I57" i="28"/>
  <c r="I86" i="28" s="1"/>
  <c r="I89" i="28" s="1"/>
  <c r="G57" i="28"/>
  <c r="F57" i="28"/>
  <c r="D57" i="28"/>
  <c r="AD57" i="28"/>
  <c r="AH52" i="28"/>
  <c r="K57" i="28"/>
  <c r="K86" i="28" s="1"/>
  <c r="AE57" i="28"/>
  <c r="J57" i="28"/>
  <c r="AJ41" i="28"/>
  <c r="AH40" i="28"/>
  <c r="AJ35" i="28"/>
  <c r="AL32" i="28"/>
  <c r="C57" i="28"/>
  <c r="AB57" i="28"/>
  <c r="H57" i="28"/>
  <c r="W57" i="28"/>
  <c r="W86" i="28" s="1"/>
  <c r="X57" i="28"/>
  <c r="X86" i="28" s="1"/>
  <c r="N57" i="28"/>
  <c r="E157" i="28"/>
  <c r="X134" i="28"/>
  <c r="F160" i="28"/>
  <c r="P161" i="28"/>
  <c r="D204" i="28"/>
  <c r="W134" i="28"/>
  <c r="AA145" i="28"/>
  <c r="Q167" i="28"/>
  <c r="R157" i="28"/>
  <c r="S187" i="28"/>
  <c r="U171" i="28"/>
  <c r="AD137" i="28"/>
  <c r="V138" i="28"/>
  <c r="D137" i="28"/>
  <c r="E211" i="28"/>
  <c r="S181" i="28"/>
  <c r="Y166" i="28"/>
  <c r="R159" i="28"/>
  <c r="W139" i="28"/>
  <c r="G132" i="28"/>
  <c r="AB128" i="28"/>
  <c r="S183" i="28"/>
  <c r="R161" i="28"/>
  <c r="AD155" i="28"/>
  <c r="Y162" i="28"/>
  <c r="V132" i="28"/>
  <c r="U173" i="28"/>
  <c r="G207" i="28"/>
  <c r="Y160" i="28"/>
  <c r="AD139" i="28"/>
  <c r="AB139" i="28"/>
  <c r="H137" i="28"/>
  <c r="I156" i="28"/>
  <c r="AB137" i="28"/>
  <c r="AC135" i="28"/>
  <c r="U176" i="28"/>
  <c r="F137" i="28"/>
  <c r="AC128" i="28"/>
  <c r="F207" i="28"/>
  <c r="Q165" i="28"/>
  <c r="U175" i="28"/>
  <c r="W138" i="28"/>
  <c r="AD128" i="28"/>
  <c r="P167" i="28"/>
  <c r="AA154" i="28"/>
  <c r="V136" i="28"/>
  <c r="V139" i="28"/>
  <c r="Y139" i="28"/>
  <c r="S179" i="28"/>
  <c r="Y158" i="28"/>
  <c r="H201" i="28"/>
  <c r="F214" i="28"/>
  <c r="AA156" i="28"/>
  <c r="AC137" i="28"/>
  <c r="D160" i="28"/>
  <c r="AE180" i="28"/>
  <c r="G214" i="28"/>
  <c r="X139" i="28"/>
  <c r="E137" i="28"/>
  <c r="E160" i="28"/>
  <c r="D211" i="28"/>
  <c r="X138" i="28"/>
  <c r="G204" i="28"/>
  <c r="AC139" i="28"/>
  <c r="V134" i="28"/>
  <c r="AC141" i="28"/>
  <c r="AD135" i="28"/>
  <c r="AA152" i="28"/>
  <c r="E204" i="28"/>
  <c r="X128" i="28"/>
  <c r="S185" i="28"/>
  <c r="E214" i="28"/>
  <c r="F157" i="28"/>
  <c r="E207" i="28"/>
  <c r="AB141" i="28"/>
  <c r="AE172" i="28"/>
  <c r="D157" i="28"/>
  <c r="W136" i="28"/>
  <c r="G157" i="28"/>
  <c r="R167" i="28"/>
  <c r="AA158" i="28"/>
  <c r="X136" i="28"/>
  <c r="AD157" i="28"/>
  <c r="Q159" i="28"/>
  <c r="Q157" i="28"/>
  <c r="T171" i="28"/>
  <c r="D214" i="28"/>
  <c r="W132" i="28"/>
  <c r="P159" i="28"/>
  <c r="F204" i="28"/>
  <c r="Y141" i="28"/>
  <c r="Y163" i="28"/>
  <c r="F211" i="28"/>
  <c r="U169" i="28"/>
  <c r="Q161" i="28"/>
  <c r="H208" i="28"/>
  <c r="P165" i="28"/>
  <c r="G211" i="28"/>
  <c r="G160" i="28"/>
  <c r="T176" i="28"/>
  <c r="R165" i="28"/>
  <c r="D207" i="28"/>
  <c r="R163" i="28"/>
  <c r="AH57" i="28" l="1"/>
  <c r="X103" i="28"/>
  <c r="X105" i="28" s="1"/>
  <c r="L157" i="28"/>
  <c r="N86" i="28"/>
  <c r="AB86" i="28"/>
  <c r="AB89" i="28" s="1"/>
  <c r="J86" i="28"/>
  <c r="AD86" i="28"/>
  <c r="AD89" i="28" s="1"/>
  <c r="C86" i="28"/>
  <c r="C89" i="28" s="1"/>
  <c r="AE86" i="28"/>
  <c r="AE89" i="28" s="1"/>
  <c r="G86" i="28"/>
  <c r="G89" i="28" s="1"/>
  <c r="O86" i="28"/>
  <c r="Q86" i="28"/>
  <c r="S86" i="28"/>
  <c r="S89" i="28" s="1"/>
  <c r="U86" i="28"/>
  <c r="U119" i="28" s="1"/>
  <c r="U121" i="28" s="1"/>
  <c r="Y86" i="28"/>
  <c r="AA86" i="28"/>
  <c r="AA110" i="28" s="1"/>
  <c r="AA112" i="28" s="1"/>
  <c r="AI85" i="28"/>
  <c r="E86" i="28"/>
  <c r="E89" i="28" s="1"/>
  <c r="H86" i="28"/>
  <c r="H89" i="28" s="1"/>
  <c r="D86" i="28"/>
  <c r="F86" i="28"/>
  <c r="P86" i="28"/>
  <c r="P89" i="28" s="1"/>
  <c r="R86" i="28"/>
  <c r="R100" i="28" s="1"/>
  <c r="R102" i="28" s="1"/>
  <c r="T86" i="28"/>
  <c r="T89" i="28" s="1"/>
  <c r="T90" i="28" s="1"/>
  <c r="V86" i="28"/>
  <c r="Z86" i="28"/>
  <c r="L155" i="28"/>
  <c r="L156" i="28"/>
  <c r="AO111" i="26"/>
  <c r="AO113" i="26" s="1"/>
  <c r="AE56" i="26"/>
  <c r="AE47" i="26"/>
  <c r="AD102" i="28" l="1"/>
  <c r="J89" i="28"/>
  <c r="J91" i="28" s="1"/>
  <c r="AI86" i="28"/>
  <c r="AD56" i="26"/>
  <c r="AD121" i="26"/>
  <c r="AL98" i="26" l="1"/>
  <c r="AL100" i="26" s="1"/>
  <c r="AI106" i="26" l="1"/>
  <c r="AI108" i="26" s="1"/>
  <c r="AF112" i="26" l="1"/>
  <c r="AF114" i="26" s="1"/>
  <c r="AB21" i="26"/>
  <c r="Y42" i="26" l="1"/>
  <c r="W132" i="26"/>
  <c r="Z106" i="26" l="1"/>
  <c r="Z110" i="26" s="1"/>
  <c r="X24" i="26"/>
  <c r="X12" i="26"/>
  <c r="W19" i="26" l="1"/>
  <c r="W42" i="26"/>
  <c r="K140" i="26" l="1"/>
  <c r="K139" i="26"/>
  <c r="K138" i="26"/>
  <c r="L140" i="26" s="1"/>
  <c r="U132" i="26"/>
  <c r="V95" i="26"/>
  <c r="L139" i="26" l="1"/>
  <c r="L138" i="26"/>
  <c r="N37" i="26"/>
  <c r="N23" i="26"/>
  <c r="N7" i="26" l="1"/>
  <c r="S106" i="26" l="1"/>
  <c r="K85" i="26"/>
  <c r="K51" i="26"/>
  <c r="K57" i="26" s="1"/>
  <c r="K106" i="26"/>
  <c r="L103" i="26" l="1"/>
  <c r="AA134" i="20"/>
  <c r="J47" i="26" l="1"/>
  <c r="H21" i="26"/>
  <c r="C23" i="26" l="1"/>
  <c r="AG12" i="25" l="1"/>
  <c r="C85" i="26" l="1"/>
  <c r="C57" i="26"/>
  <c r="E182" i="26" l="1"/>
  <c r="E181" i="26"/>
  <c r="E180" i="26"/>
  <c r="E179" i="26"/>
  <c r="E178" i="26"/>
  <c r="E177" i="26"/>
  <c r="E176" i="26"/>
  <c r="E175" i="26"/>
  <c r="E174" i="26"/>
  <c r="E173" i="26"/>
  <c r="E172" i="26"/>
  <c r="E171" i="26"/>
  <c r="E170" i="26"/>
  <c r="E169" i="26"/>
  <c r="E168" i="26"/>
  <c r="E164" i="26"/>
  <c r="R163" i="26"/>
  <c r="R168" i="26" s="1"/>
  <c r="Q170" i="26" s="1"/>
  <c r="E162" i="26"/>
  <c r="E161" i="26"/>
  <c r="E160" i="26"/>
  <c r="J154" i="26"/>
  <c r="I142" i="26"/>
  <c r="J143" i="26" s="1"/>
  <c r="F132" i="26"/>
  <c r="F133" i="26" s="1"/>
  <c r="U128" i="26"/>
  <c r="R128" i="26"/>
  <c r="N128" i="26"/>
  <c r="J117" i="26"/>
  <c r="AH85" i="26"/>
  <c r="AG85" i="26"/>
  <c r="AF85" i="26"/>
  <c r="AE85" i="26"/>
  <c r="AD85" i="26"/>
  <c r="AC85" i="26"/>
  <c r="AB85" i="26"/>
  <c r="AA85" i="26"/>
  <c r="Z85" i="26"/>
  <c r="Y85" i="26"/>
  <c r="X85" i="26"/>
  <c r="W85" i="26"/>
  <c r="V85" i="26"/>
  <c r="T85" i="26"/>
  <c r="S85" i="26"/>
  <c r="R85" i="26"/>
  <c r="Q85" i="26"/>
  <c r="P85" i="26"/>
  <c r="O85" i="26"/>
  <c r="N85" i="26"/>
  <c r="M85" i="26"/>
  <c r="L85" i="26"/>
  <c r="J85" i="26"/>
  <c r="I85" i="26"/>
  <c r="H85" i="26"/>
  <c r="G85" i="26"/>
  <c r="F85" i="26"/>
  <c r="E85" i="26"/>
  <c r="D85" i="26"/>
  <c r="AI84" i="26"/>
  <c r="AI82" i="26"/>
  <c r="AI81" i="26"/>
  <c r="AI80" i="26"/>
  <c r="AI79" i="26"/>
  <c r="U85" i="26"/>
  <c r="AI77" i="26"/>
  <c r="AI76" i="26"/>
  <c r="AI75" i="26"/>
  <c r="AI74" i="26"/>
  <c r="AI72" i="26"/>
  <c r="AI71" i="26"/>
  <c r="AI70" i="26"/>
  <c r="AI69" i="26"/>
  <c r="AI63" i="26"/>
  <c r="AI62" i="26"/>
  <c r="AI60" i="26"/>
  <c r="AI59" i="26"/>
  <c r="AI57" i="26"/>
  <c r="AG57" i="26"/>
  <c r="AF57" i="26"/>
  <c r="AD57" i="26"/>
  <c r="AD86" i="26" s="1"/>
  <c r="AD89" i="26" s="1"/>
  <c r="AC57" i="26"/>
  <c r="AB57" i="26"/>
  <c r="AB86" i="26" s="1"/>
  <c r="AB89" i="26" s="1"/>
  <c r="AA57" i="26"/>
  <c r="AA86" i="26" s="1"/>
  <c r="Y57" i="26"/>
  <c r="W57" i="26"/>
  <c r="W86" i="26" s="1"/>
  <c r="W89" i="26" s="1"/>
  <c r="V57" i="26"/>
  <c r="V86" i="26" s="1"/>
  <c r="U57" i="26"/>
  <c r="T57" i="26"/>
  <c r="S57" i="26"/>
  <c r="R57" i="26"/>
  <c r="P57" i="26"/>
  <c r="P86" i="26" s="1"/>
  <c r="O57" i="26"/>
  <c r="O86" i="26" s="1"/>
  <c r="M57" i="26"/>
  <c r="L57" i="26"/>
  <c r="J57" i="26"/>
  <c r="I57" i="26"/>
  <c r="H57" i="26"/>
  <c r="G57" i="26"/>
  <c r="D57" i="26"/>
  <c r="AH52" i="26"/>
  <c r="E57" i="26"/>
  <c r="E86" i="26" s="1"/>
  <c r="AJ41" i="26"/>
  <c r="AH40" i="26"/>
  <c r="AH57" i="26" s="1"/>
  <c r="N57" i="26"/>
  <c r="Z57" i="26"/>
  <c r="AJ35" i="26"/>
  <c r="AL32" i="26"/>
  <c r="AE57" i="26"/>
  <c r="F57" i="26"/>
  <c r="X57" i="26"/>
  <c r="Q57" i="26"/>
  <c r="AH51" i="25"/>
  <c r="AH39" i="25"/>
  <c r="F190" i="26"/>
  <c r="F140" i="26"/>
  <c r="X134" i="26"/>
  <c r="E140" i="26"/>
  <c r="W138" i="26"/>
  <c r="G115" i="26"/>
  <c r="E194" i="26"/>
  <c r="D194" i="26"/>
  <c r="R142" i="26"/>
  <c r="AB130" i="26"/>
  <c r="AA134" i="26"/>
  <c r="D120" i="26"/>
  <c r="X128" i="26"/>
  <c r="P150" i="26"/>
  <c r="S144" i="26"/>
  <c r="AD128" i="26"/>
  <c r="AA130" i="26"/>
  <c r="Y139" i="26"/>
  <c r="X136" i="26"/>
  <c r="Q150" i="26"/>
  <c r="R146" i="26"/>
  <c r="G143" i="26"/>
  <c r="F120" i="26"/>
  <c r="F187" i="26"/>
  <c r="D190" i="26"/>
  <c r="AD132" i="26"/>
  <c r="G197" i="26"/>
  <c r="W139" i="26"/>
  <c r="S142" i="26"/>
  <c r="S146" i="26"/>
  <c r="H120" i="26"/>
  <c r="G190" i="26"/>
  <c r="D197" i="26"/>
  <c r="AD148" i="26"/>
  <c r="AD130" i="26"/>
  <c r="P142" i="26"/>
  <c r="R148" i="26"/>
  <c r="E143" i="26"/>
  <c r="D140" i="26"/>
  <c r="I115" i="26"/>
  <c r="Q148" i="26"/>
  <c r="P144" i="26"/>
  <c r="E197" i="26"/>
  <c r="AA128" i="26"/>
  <c r="AG103" i="25"/>
  <c r="AB132" i="26"/>
  <c r="AB128" i="26"/>
  <c r="AB121" i="26"/>
  <c r="AC134" i="26"/>
  <c r="AB134" i="26"/>
  <c r="W134" i="26"/>
  <c r="Y136" i="26"/>
  <c r="U138" i="26"/>
  <c r="Q140" i="26"/>
  <c r="G187" i="26"/>
  <c r="U139" i="26"/>
  <c r="AE130" i="26"/>
  <c r="V132" i="26"/>
  <c r="X139" i="26"/>
  <c r="V136" i="26"/>
  <c r="V134" i="26"/>
  <c r="Y138" i="26"/>
  <c r="S150" i="26"/>
  <c r="X138" i="26"/>
  <c r="AA121" i="26"/>
  <c r="H116" i="26"/>
  <c r="AC132" i="26"/>
  <c r="F143" i="26"/>
  <c r="R150" i="26"/>
  <c r="W136" i="26"/>
  <c r="D143" i="26"/>
  <c r="U134" i="26"/>
  <c r="P140" i="26"/>
  <c r="V138" i="26"/>
  <c r="H184" i="26"/>
  <c r="H191" i="26"/>
  <c r="T139" i="26"/>
  <c r="P148" i="26"/>
  <c r="F197" i="26"/>
  <c r="Y115" i="26"/>
  <c r="D187" i="26"/>
  <c r="AC121" i="26"/>
  <c r="R144" i="26"/>
  <c r="AC130" i="26"/>
  <c r="E120" i="26"/>
  <c r="G140" i="26"/>
  <c r="E190" i="26"/>
  <c r="I139" i="26"/>
  <c r="AA132" i="26"/>
  <c r="E187" i="26"/>
  <c r="S148" i="26"/>
  <c r="Y142" i="26"/>
  <c r="V139" i="26"/>
  <c r="T134" i="26"/>
  <c r="Y117" i="26"/>
  <c r="Q142" i="26"/>
  <c r="Y134" i="26"/>
  <c r="G120" i="26"/>
  <c r="AE122" i="26"/>
  <c r="AC128" i="26"/>
  <c r="T132" i="26"/>
  <c r="G194" i="26"/>
  <c r="R140" i="26"/>
  <c r="F194" i="26"/>
  <c r="Q144" i="26"/>
  <c r="U136" i="26"/>
  <c r="AD150" i="26"/>
  <c r="AC86" i="26" l="1"/>
  <c r="AC89" i="26" s="1"/>
  <c r="AE86" i="26"/>
  <c r="AE89" i="26" s="1"/>
  <c r="N86" i="26"/>
  <c r="G86" i="26"/>
  <c r="I86" i="26"/>
  <c r="L86" i="26"/>
  <c r="R86" i="26"/>
  <c r="T86" i="26"/>
  <c r="F86" i="26"/>
  <c r="Z86" i="26"/>
  <c r="J86" i="26"/>
  <c r="J89" i="26" s="1"/>
  <c r="J91" i="26" s="1"/>
  <c r="M86" i="26"/>
  <c r="S86" i="26"/>
  <c r="AF86" i="26"/>
  <c r="AF89" i="26" s="1"/>
  <c r="Y86" i="26"/>
  <c r="X86" i="26"/>
  <c r="Q86" i="26"/>
  <c r="AG86" i="26"/>
  <c r="K86" i="26"/>
  <c r="K89" i="26" s="1"/>
  <c r="H86" i="26"/>
  <c r="H89" i="26" s="1"/>
  <c r="D86" i="26"/>
  <c r="C86" i="26"/>
  <c r="C89" i="26" s="1"/>
  <c r="U86" i="26"/>
  <c r="AI78" i="26"/>
  <c r="AI85" i="26" s="1"/>
  <c r="AI86" i="26" l="1"/>
  <c r="AE26" i="25"/>
  <c r="Z35" i="25" l="1"/>
  <c r="X56" i="25" l="1"/>
  <c r="Y140" i="25"/>
  <c r="X18" i="25" l="1"/>
  <c r="U76" i="25"/>
  <c r="U126" i="25" l="1"/>
  <c r="Q41" i="25" l="1"/>
  <c r="Q11" i="25" l="1"/>
  <c r="N36" i="25" l="1"/>
  <c r="N126" i="25" l="1"/>
  <c r="F25" i="25" l="1"/>
  <c r="J102" i="25"/>
  <c r="E48" i="25" l="1"/>
  <c r="AE21" i="24" l="1"/>
  <c r="AF48" i="24"/>
  <c r="AF36" i="24"/>
  <c r="E180" i="25"/>
  <c r="E179" i="25"/>
  <c r="E178" i="25"/>
  <c r="E177" i="25"/>
  <c r="E176" i="25"/>
  <c r="E175" i="25"/>
  <c r="E174" i="25"/>
  <c r="E173" i="25"/>
  <c r="E172" i="25"/>
  <c r="E171" i="25"/>
  <c r="E170" i="25"/>
  <c r="E169" i="25"/>
  <c r="E168" i="25"/>
  <c r="E167" i="25"/>
  <c r="E166" i="25"/>
  <c r="E162" i="25"/>
  <c r="R161" i="25"/>
  <c r="R166" i="25" s="1"/>
  <c r="Q168" i="25" s="1"/>
  <c r="E160" i="25"/>
  <c r="E159" i="25"/>
  <c r="E158" i="25"/>
  <c r="J152" i="25"/>
  <c r="I140" i="25"/>
  <c r="J141" i="25" s="1"/>
  <c r="F130" i="25"/>
  <c r="F131" i="25" s="1"/>
  <c r="R126" i="25"/>
  <c r="J115" i="25"/>
  <c r="AF101" i="25"/>
  <c r="AH83" i="25"/>
  <c r="AG83" i="25"/>
  <c r="AF83" i="25"/>
  <c r="AE83" i="25"/>
  <c r="AD83" i="25"/>
  <c r="AC83" i="25"/>
  <c r="AB83" i="25"/>
  <c r="AA83" i="25"/>
  <c r="Z83" i="25"/>
  <c r="Y83" i="25"/>
  <c r="X83" i="25"/>
  <c r="W83" i="25"/>
  <c r="V83" i="25"/>
  <c r="U83" i="25"/>
  <c r="T83" i="25"/>
  <c r="S83" i="25"/>
  <c r="R83" i="25"/>
  <c r="Q83" i="25"/>
  <c r="P83" i="25"/>
  <c r="O83" i="25"/>
  <c r="N83" i="25"/>
  <c r="M83" i="25"/>
  <c r="L83" i="25"/>
  <c r="K83" i="25"/>
  <c r="J83" i="25"/>
  <c r="I83" i="25"/>
  <c r="H83" i="25"/>
  <c r="G83" i="25"/>
  <c r="F83" i="25"/>
  <c r="E83" i="25"/>
  <c r="D83" i="25"/>
  <c r="C83" i="25"/>
  <c r="AI82" i="25"/>
  <c r="AI80" i="25"/>
  <c r="AI79" i="25"/>
  <c r="AI78" i="25"/>
  <c r="AI77" i="25"/>
  <c r="AI76" i="25"/>
  <c r="AI75" i="25"/>
  <c r="AI74" i="25"/>
  <c r="AI73" i="25"/>
  <c r="AI72" i="25"/>
  <c r="AI71" i="25"/>
  <c r="AI70" i="25"/>
  <c r="AI69" i="25"/>
  <c r="AI68" i="25"/>
  <c r="AI62" i="25"/>
  <c r="AI61" i="25"/>
  <c r="AI59" i="25"/>
  <c r="AI58" i="25"/>
  <c r="AI56" i="25"/>
  <c r="AH56" i="25"/>
  <c r="AG56" i="25"/>
  <c r="AF56" i="25"/>
  <c r="AB56" i="25"/>
  <c r="AB84" i="25" s="1"/>
  <c r="Z56" i="25"/>
  <c r="Y56" i="25"/>
  <c r="W56" i="25"/>
  <c r="V56" i="25"/>
  <c r="U56" i="25"/>
  <c r="S56" i="25"/>
  <c r="S84" i="25" s="1"/>
  <c r="R56" i="25"/>
  <c r="Q56" i="25"/>
  <c r="Q84" i="25" s="1"/>
  <c r="P56" i="25"/>
  <c r="P84" i="25" s="1"/>
  <c r="O56" i="25"/>
  <c r="O84" i="25" s="1"/>
  <c r="N56" i="25"/>
  <c r="N84" i="25" s="1"/>
  <c r="L56" i="25"/>
  <c r="K56" i="25"/>
  <c r="J56" i="25"/>
  <c r="I56" i="25"/>
  <c r="H56" i="25"/>
  <c r="G56" i="25"/>
  <c r="E56" i="25"/>
  <c r="E84" i="25" s="1"/>
  <c r="D56" i="25"/>
  <c r="D84" i="25" s="1"/>
  <c r="C56" i="25"/>
  <c r="C84" i="25" s="1"/>
  <c r="C87" i="25" s="1"/>
  <c r="C89" i="25" s="1"/>
  <c r="AJ40" i="25"/>
  <c r="AE56" i="25"/>
  <c r="AJ34" i="25"/>
  <c r="AL31" i="25"/>
  <c r="AA56" i="25"/>
  <c r="AD56" i="25"/>
  <c r="AC56" i="25"/>
  <c r="M56" i="25"/>
  <c r="F56" i="25"/>
  <c r="T56" i="25"/>
  <c r="AH103" i="25"/>
  <c r="H118" i="25"/>
  <c r="J104" i="25"/>
  <c r="H189" i="25"/>
  <c r="V137" i="25"/>
  <c r="AD126" i="25"/>
  <c r="AA126" i="25"/>
  <c r="I102" i="25"/>
  <c r="AE114" i="25"/>
  <c r="AC132" i="25"/>
  <c r="G192" i="25"/>
  <c r="L104" i="25"/>
  <c r="V136" i="25"/>
  <c r="X137" i="25"/>
  <c r="S148" i="25"/>
  <c r="U136" i="25"/>
  <c r="V132" i="25"/>
  <c r="R138" i="25"/>
  <c r="E192" i="25"/>
  <c r="AB119" i="25"/>
  <c r="Q138" i="25"/>
  <c r="Q148" i="25"/>
  <c r="Y136" i="25"/>
  <c r="P138" i="25"/>
  <c r="AE128" i="25"/>
  <c r="F185" i="25"/>
  <c r="W136" i="25"/>
  <c r="U130" i="25"/>
  <c r="H182" i="25"/>
  <c r="AJ103" i="25"/>
  <c r="F188" i="25"/>
  <c r="W134" i="25"/>
  <c r="F141" i="25"/>
  <c r="H114" i="25"/>
  <c r="AB126" i="25"/>
  <c r="G195" i="25"/>
  <c r="D185" i="25"/>
  <c r="E188" i="25"/>
  <c r="F192" i="25"/>
  <c r="AA130" i="25"/>
  <c r="AD128" i="25"/>
  <c r="AI103" i="25"/>
  <c r="AC126" i="25"/>
  <c r="D138" i="25"/>
  <c r="AB132" i="25"/>
  <c r="S144" i="25"/>
  <c r="AD148" i="25"/>
  <c r="G118" i="25"/>
  <c r="F195" i="25"/>
  <c r="F118" i="25"/>
  <c r="T130" i="25"/>
  <c r="T137" i="25"/>
  <c r="Y134" i="25"/>
  <c r="AB130" i="25"/>
  <c r="U134" i="25"/>
  <c r="G138" i="25"/>
  <c r="I137" i="25"/>
  <c r="AC119" i="25"/>
  <c r="D141" i="25"/>
  <c r="Y132" i="25"/>
  <c r="R144" i="25"/>
  <c r="D118" i="25"/>
  <c r="Y137" i="25"/>
  <c r="AA132" i="25"/>
  <c r="W137" i="25"/>
  <c r="E138" i="25"/>
  <c r="D188" i="25"/>
  <c r="E185" i="25"/>
  <c r="H102" i="25"/>
  <c r="AC130" i="25"/>
  <c r="X134" i="25"/>
  <c r="I113" i="25"/>
  <c r="S140" i="25"/>
  <c r="V130" i="25"/>
  <c r="Y113" i="25"/>
  <c r="V134" i="25"/>
  <c r="R148" i="25"/>
  <c r="G185" i="25"/>
  <c r="I104" i="25"/>
  <c r="H104" i="25"/>
  <c r="AD146" i="25"/>
  <c r="AC128" i="25"/>
  <c r="P140" i="25"/>
  <c r="X132" i="25"/>
  <c r="P146" i="25"/>
  <c r="AA119" i="25"/>
  <c r="F138" i="25"/>
  <c r="G141" i="25"/>
  <c r="S146" i="25"/>
  <c r="AE119" i="25"/>
  <c r="AF104" i="25"/>
  <c r="X126" i="25"/>
  <c r="S142" i="25"/>
  <c r="AE105" i="25"/>
  <c r="U137" i="25"/>
  <c r="AA128" i="25"/>
  <c r="AB128" i="25"/>
  <c r="Y115" i="25"/>
  <c r="R146" i="25"/>
  <c r="G188" i="25"/>
  <c r="Q146" i="25"/>
  <c r="Q140" i="25"/>
  <c r="D192" i="25"/>
  <c r="W130" i="25"/>
  <c r="K102" i="25"/>
  <c r="Q142" i="25"/>
  <c r="E141" i="25"/>
  <c r="P148" i="25"/>
  <c r="E118" i="25"/>
  <c r="K104" i="25"/>
  <c r="R142" i="25"/>
  <c r="T132" i="25"/>
  <c r="U132" i="25"/>
  <c r="AD119" i="25"/>
  <c r="E195" i="25"/>
  <c r="W132" i="25"/>
  <c r="P142" i="25"/>
  <c r="AD130" i="25"/>
  <c r="D195" i="25"/>
  <c r="X136" i="25"/>
  <c r="G113" i="25"/>
  <c r="R140" i="25"/>
  <c r="AE84" i="25" l="1"/>
  <c r="R84" i="25"/>
  <c r="T84" i="25"/>
  <c r="AD84" i="25"/>
  <c r="H84" i="25"/>
  <c r="J84" i="25"/>
  <c r="J87" i="25" s="1"/>
  <c r="J89" i="25" s="1"/>
  <c r="V84" i="25"/>
  <c r="AC84" i="25"/>
  <c r="AA84" i="25"/>
  <c r="AG84" i="25"/>
  <c r="AG87" i="25" s="1"/>
  <c r="L84" i="25"/>
  <c r="L87" i="25" s="1"/>
  <c r="F84" i="25"/>
  <c r="X84" i="25"/>
  <c r="X87" i="25" s="1"/>
  <c r="Z84" i="25"/>
  <c r="AF84" i="25"/>
  <c r="AF87" i="25" s="1"/>
  <c r="M84" i="25"/>
  <c r="M87" i="25" s="1"/>
  <c r="G84" i="25"/>
  <c r="I84" i="25"/>
  <c r="K84" i="25"/>
  <c r="U84" i="25"/>
  <c r="W84" i="25"/>
  <c r="Y84" i="25"/>
  <c r="AI83" i="25"/>
  <c r="AI84" i="25" l="1"/>
  <c r="AD21" i="24"/>
  <c r="AC16" i="24" l="1"/>
  <c r="AC116" i="24"/>
  <c r="AA25" i="24" l="1"/>
  <c r="D130" i="24"/>
  <c r="AA116" i="24"/>
  <c r="T80" i="24" l="1"/>
  <c r="T53" i="24"/>
  <c r="T122" i="24"/>
  <c r="T8" i="24" l="1"/>
  <c r="N80" i="24" l="1"/>
  <c r="N53" i="24"/>
  <c r="Q130" i="24"/>
  <c r="M16" i="24" l="1"/>
  <c r="M38" i="24"/>
  <c r="M18" i="24"/>
  <c r="P130" i="24"/>
  <c r="F18" i="24" l="1"/>
  <c r="F9" i="24"/>
  <c r="I129" i="24"/>
  <c r="C53" i="24" l="1"/>
  <c r="D53" i="24"/>
  <c r="AG53" i="24"/>
  <c r="E172" i="24"/>
  <c r="E171" i="24"/>
  <c r="E170" i="24"/>
  <c r="E169" i="24"/>
  <c r="E168" i="24"/>
  <c r="E167" i="24"/>
  <c r="E166" i="24"/>
  <c r="E165" i="24"/>
  <c r="E164" i="24"/>
  <c r="E163" i="24"/>
  <c r="E162" i="24"/>
  <c r="E161" i="24"/>
  <c r="E160" i="24"/>
  <c r="E159" i="24"/>
  <c r="E158" i="24"/>
  <c r="E154" i="24"/>
  <c r="R153" i="24"/>
  <c r="R158" i="24" s="1"/>
  <c r="Q160" i="24" s="1"/>
  <c r="E152" i="24"/>
  <c r="E151" i="24"/>
  <c r="E150" i="24"/>
  <c r="J144" i="24"/>
  <c r="I132" i="24"/>
  <c r="J133" i="24" s="1"/>
  <c r="F122" i="24"/>
  <c r="F123" i="24" s="1"/>
  <c r="U118" i="24"/>
  <c r="R118" i="24"/>
  <c r="N118" i="24"/>
  <c r="J112" i="24"/>
  <c r="AF98" i="24"/>
  <c r="AH80" i="24"/>
  <c r="AG80" i="24"/>
  <c r="AF80" i="24"/>
  <c r="AE80" i="24"/>
  <c r="AD80" i="24"/>
  <c r="AC80" i="24"/>
  <c r="AB80" i="24"/>
  <c r="AA80" i="24"/>
  <c r="Z80" i="24"/>
  <c r="Y80" i="24"/>
  <c r="X80" i="24"/>
  <c r="W80" i="24"/>
  <c r="V80" i="24"/>
  <c r="U80" i="24"/>
  <c r="S80" i="24"/>
  <c r="R80" i="24"/>
  <c r="Q80" i="24"/>
  <c r="P80" i="24"/>
  <c r="O80" i="24"/>
  <c r="M80" i="24"/>
  <c r="L80" i="24"/>
  <c r="K80" i="24"/>
  <c r="J80" i="24"/>
  <c r="I80" i="24"/>
  <c r="H80" i="24"/>
  <c r="G80" i="24"/>
  <c r="F80" i="24"/>
  <c r="E80" i="24"/>
  <c r="D80" i="24"/>
  <c r="C80" i="24"/>
  <c r="AI79" i="24"/>
  <c r="AI77" i="24"/>
  <c r="AI76" i="24"/>
  <c r="AI75" i="24"/>
  <c r="AI74" i="24"/>
  <c r="AI73" i="24"/>
  <c r="AI72" i="24"/>
  <c r="AI71" i="24"/>
  <c r="AI70" i="24"/>
  <c r="AI69" i="24"/>
  <c r="AI68" i="24"/>
  <c r="AI67" i="24"/>
  <c r="AI66" i="24"/>
  <c r="AI65" i="24"/>
  <c r="AI59" i="24"/>
  <c r="AI58" i="24"/>
  <c r="AI56" i="24"/>
  <c r="AI55" i="24"/>
  <c r="AI53" i="24"/>
  <c r="AH53" i="24"/>
  <c r="AE53" i="24"/>
  <c r="AD53" i="24"/>
  <c r="AC53" i="24"/>
  <c r="AB53" i="24"/>
  <c r="AB81" i="24" s="1"/>
  <c r="AA53" i="24"/>
  <c r="Y53" i="24"/>
  <c r="X53" i="24"/>
  <c r="W53" i="24"/>
  <c r="U53" i="24"/>
  <c r="T81" i="24"/>
  <c r="T84" i="24" s="1"/>
  <c r="T86" i="24" s="1"/>
  <c r="S53" i="24"/>
  <c r="R53" i="24"/>
  <c r="R81" i="24" s="1"/>
  <c r="Q53" i="24"/>
  <c r="P53" i="24"/>
  <c r="P81" i="24" s="1"/>
  <c r="O53" i="24"/>
  <c r="M53" i="24"/>
  <c r="K53" i="24"/>
  <c r="I53" i="24"/>
  <c r="H53" i="24"/>
  <c r="H81" i="24" s="1"/>
  <c r="G53" i="24"/>
  <c r="F53" i="24"/>
  <c r="F81" i="24" s="1"/>
  <c r="E53" i="24"/>
  <c r="AF53" i="24"/>
  <c r="AF81" i="24" s="1"/>
  <c r="V53" i="24"/>
  <c r="AJ37" i="24"/>
  <c r="Z53" i="24"/>
  <c r="AJ31" i="24"/>
  <c r="AL28" i="24"/>
  <c r="J53" i="24"/>
  <c r="L53" i="24"/>
  <c r="AB120" i="24"/>
  <c r="F187" i="24"/>
  <c r="I110" i="24"/>
  <c r="S134" i="24"/>
  <c r="Q132" i="24"/>
  <c r="K101" i="24"/>
  <c r="Y128" i="24"/>
  <c r="AD138" i="24"/>
  <c r="T124" i="24"/>
  <c r="AD116" i="24"/>
  <c r="F177" i="24"/>
  <c r="AC120" i="24"/>
  <c r="R134" i="24"/>
  <c r="U126" i="24"/>
  <c r="X128" i="24"/>
  <c r="S136" i="24"/>
  <c r="P132" i="24"/>
  <c r="U128" i="24"/>
  <c r="Y124" i="24"/>
  <c r="R138" i="24"/>
  <c r="S140" i="24"/>
  <c r="AE116" i="24"/>
  <c r="AD140" i="24"/>
  <c r="I101" i="24"/>
  <c r="V124" i="24"/>
  <c r="E130" i="24"/>
  <c r="V126" i="24"/>
  <c r="AB118" i="24"/>
  <c r="X126" i="24"/>
  <c r="G180" i="24"/>
  <c r="H99" i="24"/>
  <c r="L101" i="24"/>
  <c r="AD118" i="24"/>
  <c r="P138" i="24"/>
  <c r="W122" i="24"/>
  <c r="G130" i="24"/>
  <c r="Q134" i="24"/>
  <c r="Q138" i="24"/>
  <c r="E115" i="24"/>
  <c r="P140" i="24"/>
  <c r="G133" i="24"/>
  <c r="H174" i="24"/>
  <c r="F184" i="24"/>
  <c r="U124" i="24"/>
  <c r="X129" i="24"/>
  <c r="D180" i="24"/>
  <c r="AE111" i="24"/>
  <c r="E177" i="24"/>
  <c r="I99" i="24"/>
  <c r="AG100" i="24"/>
  <c r="P134" i="24"/>
  <c r="AF101" i="24"/>
  <c r="E184" i="24"/>
  <c r="Y126" i="24"/>
  <c r="AB122" i="24"/>
  <c r="AB116" i="24"/>
  <c r="Y112" i="24"/>
  <c r="AC118" i="24"/>
  <c r="R132" i="24"/>
  <c r="D133" i="24"/>
  <c r="AD120" i="24"/>
  <c r="AA120" i="24"/>
  <c r="Y110" i="24"/>
  <c r="G184" i="24"/>
  <c r="H115" i="24"/>
  <c r="W128" i="24"/>
  <c r="X124" i="24"/>
  <c r="E180" i="24"/>
  <c r="H181" i="24"/>
  <c r="F130" i="24"/>
  <c r="AE120" i="24"/>
  <c r="H101" i="24"/>
  <c r="G187" i="24"/>
  <c r="AA122" i="24"/>
  <c r="AA118" i="24"/>
  <c r="U122" i="24"/>
  <c r="W126" i="24"/>
  <c r="R130" i="24"/>
  <c r="D187" i="24"/>
  <c r="AA124" i="24"/>
  <c r="R140" i="24"/>
  <c r="T129" i="24"/>
  <c r="AI100" i="24"/>
  <c r="AC122" i="24"/>
  <c r="W124" i="24"/>
  <c r="D184" i="24"/>
  <c r="AD122" i="24"/>
  <c r="Q140" i="24"/>
  <c r="G110" i="24"/>
  <c r="F115" i="24"/>
  <c r="K99" i="24"/>
  <c r="J101" i="24"/>
  <c r="S138" i="24"/>
  <c r="E187" i="24"/>
  <c r="AJ100" i="24"/>
  <c r="AH100" i="24"/>
  <c r="E133" i="24"/>
  <c r="H111" i="24"/>
  <c r="D115" i="24"/>
  <c r="AB124" i="24"/>
  <c r="D177" i="24"/>
  <c r="F180" i="24"/>
  <c r="AE102" i="24"/>
  <c r="R136" i="24"/>
  <c r="G115" i="24"/>
  <c r="V122" i="24"/>
  <c r="J99" i="24"/>
  <c r="X118" i="24"/>
  <c r="AC124" i="24"/>
  <c r="F133" i="24"/>
  <c r="V128" i="24"/>
  <c r="S132" i="24"/>
  <c r="G177" i="24"/>
  <c r="AD81" i="24" l="1"/>
  <c r="N81" i="24"/>
  <c r="N84" i="24" s="1"/>
  <c r="J81" i="24"/>
  <c r="J84" i="24" s="1"/>
  <c r="D81" i="24"/>
  <c r="L81" i="24"/>
  <c r="Z81" i="24"/>
  <c r="V81" i="24"/>
  <c r="X81" i="24"/>
  <c r="AI80" i="24"/>
  <c r="K81" i="24"/>
  <c r="W81" i="24"/>
  <c r="Y81" i="24"/>
  <c r="AG81" i="24"/>
  <c r="C81" i="24"/>
  <c r="E81" i="24"/>
  <c r="G81" i="24"/>
  <c r="I81" i="24"/>
  <c r="M81" i="24"/>
  <c r="O81" i="24"/>
  <c r="Q81" i="24"/>
  <c r="Q84" i="24" s="1"/>
  <c r="S81" i="24"/>
  <c r="U81" i="24"/>
  <c r="AA81" i="24"/>
  <c r="AC81" i="24"/>
  <c r="AE81" i="24"/>
  <c r="AE84" i="24" s="1"/>
  <c r="AG44" i="23"/>
  <c r="AF59" i="23"/>
  <c r="U129" i="24"/>
  <c r="V129" i="24"/>
  <c r="Y129" i="24"/>
  <c r="W129" i="24"/>
  <c r="AI81" i="24" l="1"/>
  <c r="Z39" i="23"/>
  <c r="Z58" i="23"/>
  <c r="AF110" i="23" l="1"/>
  <c r="Y8" i="23"/>
  <c r="Y27" i="23"/>
  <c r="W17" i="23" l="1"/>
  <c r="V51" i="23" l="1"/>
  <c r="R99" i="23" l="1"/>
  <c r="Q38" i="23" l="1"/>
  <c r="Q99" i="23" s="1"/>
  <c r="L12" i="23" l="1"/>
  <c r="J124" i="23"/>
  <c r="J25" i="23" l="1"/>
  <c r="J156" i="23"/>
  <c r="G64" i="23" l="1"/>
  <c r="F64" i="23"/>
  <c r="E64" i="23"/>
  <c r="D64" i="23"/>
  <c r="C64" i="23"/>
  <c r="H64" i="23"/>
  <c r="C92" i="23"/>
  <c r="D92" i="23"/>
  <c r="E92" i="23"/>
  <c r="E93" i="23" s="1"/>
  <c r="E96" i="23" s="1"/>
  <c r="E98" i="23" s="1"/>
  <c r="F92" i="23"/>
  <c r="G92" i="23"/>
  <c r="H92" i="23"/>
  <c r="M64" i="23"/>
  <c r="E184" i="23"/>
  <c r="E183" i="23"/>
  <c r="E182" i="23"/>
  <c r="E181" i="23"/>
  <c r="E180" i="23"/>
  <c r="E179" i="23"/>
  <c r="E178" i="23"/>
  <c r="E177" i="23"/>
  <c r="E176" i="23"/>
  <c r="E175" i="23"/>
  <c r="E174" i="23"/>
  <c r="E173" i="23"/>
  <c r="E172" i="23"/>
  <c r="E171" i="23"/>
  <c r="E170" i="23"/>
  <c r="E166" i="23"/>
  <c r="R165" i="23"/>
  <c r="R170" i="23" s="1"/>
  <c r="Q172" i="23" s="1"/>
  <c r="E164" i="23"/>
  <c r="E163" i="23"/>
  <c r="E162" i="23"/>
  <c r="I144" i="23"/>
  <c r="J145" i="23" s="1"/>
  <c r="F134" i="23"/>
  <c r="F135" i="23" s="1"/>
  <c r="U130" i="23"/>
  <c r="R130" i="23"/>
  <c r="N130" i="23"/>
  <c r="D99" i="23"/>
  <c r="AH92" i="23"/>
  <c r="AG92" i="23"/>
  <c r="AF92" i="23"/>
  <c r="AE92" i="23"/>
  <c r="AD92" i="23"/>
  <c r="AC92" i="23"/>
  <c r="AB92" i="23"/>
  <c r="AA92" i="23"/>
  <c r="Z92" i="23"/>
  <c r="Y92" i="23"/>
  <c r="X92" i="23"/>
  <c r="W92" i="23"/>
  <c r="V92" i="23"/>
  <c r="U92" i="23"/>
  <c r="T92" i="23"/>
  <c r="S92" i="23"/>
  <c r="R92" i="23"/>
  <c r="Q92" i="23"/>
  <c r="P92" i="23"/>
  <c r="O92" i="23"/>
  <c r="N92" i="23"/>
  <c r="M92" i="23"/>
  <c r="L92" i="23"/>
  <c r="J92" i="23"/>
  <c r="I92" i="23"/>
  <c r="AI91" i="23"/>
  <c r="AI89" i="23"/>
  <c r="AI88" i="23"/>
  <c r="AI87" i="23"/>
  <c r="AI86" i="23"/>
  <c r="AI85" i="23"/>
  <c r="K92" i="23"/>
  <c r="AI84" i="23"/>
  <c r="AI83" i="23"/>
  <c r="AI82" i="23"/>
  <c r="AI81" i="23"/>
  <c r="AI78" i="23"/>
  <c r="AI77" i="23"/>
  <c r="AI76" i="23"/>
  <c r="AI74" i="23"/>
  <c r="AI73" i="23"/>
  <c r="AI72" i="23"/>
  <c r="AI71" i="23"/>
  <c r="AI70" i="23"/>
  <c r="AI69" i="23"/>
  <c r="AI67" i="23"/>
  <c r="AI66" i="23"/>
  <c r="AI64" i="23"/>
  <c r="AH64" i="23"/>
  <c r="AG64" i="23"/>
  <c r="AG93" i="23" s="1"/>
  <c r="AF64" i="23"/>
  <c r="AF93" i="23" s="1"/>
  <c r="AD64" i="23"/>
  <c r="AC64" i="23"/>
  <c r="AB64" i="23"/>
  <c r="AA64" i="23"/>
  <c r="Z64" i="23"/>
  <c r="Y64" i="23"/>
  <c r="X64" i="23"/>
  <c r="W64" i="23"/>
  <c r="V64" i="23"/>
  <c r="T64" i="23"/>
  <c r="T93" i="23" s="1"/>
  <c r="R64" i="23"/>
  <c r="Q64" i="23"/>
  <c r="P64" i="23"/>
  <c r="O64" i="23"/>
  <c r="L64" i="23"/>
  <c r="J64" i="23"/>
  <c r="I64" i="23"/>
  <c r="D93" i="23"/>
  <c r="D96" i="23" s="1"/>
  <c r="D98" i="23" s="1"/>
  <c r="AJ45" i="23"/>
  <c r="AE64" i="23"/>
  <c r="AJ37" i="23"/>
  <c r="AL34" i="23"/>
  <c r="N64" i="23"/>
  <c r="K64" i="23"/>
  <c r="S64" i="23"/>
  <c r="S93" i="23" s="1"/>
  <c r="U64" i="23"/>
  <c r="AE42" i="22"/>
  <c r="AC136" i="23"/>
  <c r="V134" i="23"/>
  <c r="S146" i="23"/>
  <c r="D196" i="23"/>
  <c r="AA132" i="23"/>
  <c r="T136" i="23"/>
  <c r="H111" i="23"/>
  <c r="S144" i="23"/>
  <c r="X130" i="23"/>
  <c r="W138" i="23"/>
  <c r="R144" i="23"/>
  <c r="AD128" i="23"/>
  <c r="G199" i="23"/>
  <c r="H113" i="23"/>
  <c r="S150" i="23"/>
  <c r="P142" i="23"/>
  <c r="X138" i="23"/>
  <c r="X140" i="23"/>
  <c r="V136" i="23"/>
  <c r="R152" i="23"/>
  <c r="U138" i="23"/>
  <c r="U140" i="23"/>
  <c r="F189" i="23"/>
  <c r="AD150" i="23"/>
  <c r="D145" i="23"/>
  <c r="V140" i="23"/>
  <c r="AC128" i="23"/>
  <c r="W136" i="23"/>
  <c r="E127" i="23"/>
  <c r="AC132" i="23"/>
  <c r="E189" i="23"/>
  <c r="P150" i="23"/>
  <c r="E192" i="23"/>
  <c r="AB130" i="23"/>
  <c r="Y140" i="23"/>
  <c r="D142" i="23"/>
  <c r="G142" i="23"/>
  <c r="Y138" i="23"/>
  <c r="AE123" i="23"/>
  <c r="H186" i="23"/>
  <c r="T141" i="23"/>
  <c r="G145" i="23"/>
  <c r="AB136" i="23"/>
  <c r="R148" i="23"/>
  <c r="AC134" i="23"/>
  <c r="F199" i="23"/>
  <c r="R150" i="23"/>
  <c r="H127" i="23"/>
  <c r="AJ112" i="23"/>
  <c r="D189" i="23"/>
  <c r="AE128" i="23"/>
  <c r="AA130" i="23"/>
  <c r="Q142" i="23"/>
  <c r="V138" i="23"/>
  <c r="P146" i="23"/>
  <c r="X136" i="23"/>
  <c r="W134" i="23"/>
  <c r="K111" i="23"/>
  <c r="F142" i="23"/>
  <c r="H123" i="23"/>
  <c r="G196" i="23"/>
  <c r="R146" i="23"/>
  <c r="S148" i="23"/>
  <c r="AC130" i="23"/>
  <c r="D199" i="23"/>
  <c r="AD152" i="23"/>
  <c r="AA128" i="23"/>
  <c r="Q152" i="23"/>
  <c r="I122" i="23"/>
  <c r="K113" i="23"/>
  <c r="G192" i="23"/>
  <c r="U136" i="23"/>
  <c r="AD130" i="23"/>
  <c r="G189" i="23"/>
  <c r="Y124" i="23"/>
  <c r="AB128" i="23"/>
  <c r="AD132" i="23"/>
  <c r="AB132" i="23"/>
  <c r="I113" i="23"/>
  <c r="E199" i="23"/>
  <c r="AH112" i="23"/>
  <c r="D192" i="23"/>
  <c r="Y122" i="23"/>
  <c r="AE132" i="23"/>
  <c r="Q144" i="23"/>
  <c r="L113" i="23"/>
  <c r="T134" i="23"/>
  <c r="P152" i="23"/>
  <c r="AA134" i="23"/>
  <c r="P144" i="23"/>
  <c r="E196" i="23"/>
  <c r="AI112" i="23"/>
  <c r="I111" i="23"/>
  <c r="J111" i="23"/>
  <c r="H193" i="23"/>
  <c r="AA136" i="23"/>
  <c r="F192" i="23"/>
  <c r="AF113" i="23"/>
  <c r="F145" i="23"/>
  <c r="G122" i="23"/>
  <c r="Q146" i="23"/>
  <c r="J113" i="23"/>
  <c r="E142" i="23"/>
  <c r="S152" i="23"/>
  <c r="AB134" i="23"/>
  <c r="F127" i="23"/>
  <c r="D127" i="23"/>
  <c r="R142" i="23"/>
  <c r="Y136" i="23"/>
  <c r="AD134" i="23"/>
  <c r="G127" i="23"/>
  <c r="U134" i="23"/>
  <c r="F196" i="23"/>
  <c r="AE114" i="23"/>
  <c r="Q150" i="23"/>
  <c r="E145" i="23"/>
  <c r="AG112" i="23"/>
  <c r="W140" i="23"/>
  <c r="U93" i="23" l="1"/>
  <c r="AE93" i="23"/>
  <c r="J93" i="23"/>
  <c r="O93" i="23"/>
  <c r="W93" i="23"/>
  <c r="AA93" i="23"/>
  <c r="AC93" i="23"/>
  <c r="AC96" i="23" s="1"/>
  <c r="Y93" i="23"/>
  <c r="Y96" i="23" s="1"/>
  <c r="N93" i="23"/>
  <c r="Q93" i="23"/>
  <c r="Q96" i="23" s="1"/>
  <c r="H93" i="23"/>
  <c r="H96" i="23" s="1"/>
  <c r="F93" i="23"/>
  <c r="F96" i="23" s="1"/>
  <c r="F98" i="23" s="1"/>
  <c r="M93" i="23"/>
  <c r="I93" i="23"/>
  <c r="I96" i="23" s="1"/>
  <c r="L93" i="23"/>
  <c r="L96" i="23" s="1"/>
  <c r="L98" i="23" s="1"/>
  <c r="P93" i="23"/>
  <c r="R93" i="23"/>
  <c r="R96" i="23" s="1"/>
  <c r="V93" i="23"/>
  <c r="X93" i="23"/>
  <c r="Z93" i="23"/>
  <c r="AB93" i="23"/>
  <c r="AD93" i="23"/>
  <c r="C93" i="23"/>
  <c r="K93" i="23"/>
  <c r="K96" i="23" s="1"/>
  <c r="K98" i="23" s="1"/>
  <c r="G93" i="23"/>
  <c r="AI92" i="23"/>
  <c r="C96" i="23"/>
  <c r="V141" i="23"/>
  <c r="Y141" i="23"/>
  <c r="U141" i="23"/>
  <c r="X141" i="23"/>
  <c r="W141" i="23"/>
  <c r="AI93" i="23" l="1"/>
  <c r="F38" i="17" l="1"/>
  <c r="W141" i="22"/>
  <c r="V143" i="22"/>
  <c r="U143" i="22"/>
  <c r="Y143" i="22"/>
  <c r="V141" i="22"/>
  <c r="U141" i="22"/>
  <c r="X141" i="22"/>
  <c r="Y141" i="22"/>
  <c r="W143" i="22"/>
  <c r="X143" i="22"/>
  <c r="U24" i="22" l="1"/>
  <c r="S49" i="22" l="1"/>
  <c r="S29" i="22"/>
  <c r="R173" i="22" l="1"/>
  <c r="F37" i="17" l="1"/>
  <c r="R97" i="22" l="1"/>
  <c r="R168" i="22" l="1"/>
  <c r="Q175" i="22"/>
  <c r="F34" i="17" l="1"/>
  <c r="F35" i="17"/>
  <c r="F36" i="17"/>
  <c r="F33" i="17"/>
  <c r="N32" i="22" l="1"/>
  <c r="M32" i="22" l="1"/>
  <c r="K83" i="22" l="1"/>
  <c r="L62" i="22" l="1"/>
  <c r="K84" i="22" l="1"/>
  <c r="K39" i="22" l="1"/>
  <c r="K32" i="22"/>
  <c r="K31" i="22"/>
  <c r="K62" i="22" l="1"/>
  <c r="G31" i="22" l="1"/>
  <c r="E148" i="22"/>
  <c r="F148" i="22"/>
  <c r="D148" i="22"/>
  <c r="G148" i="22"/>
  <c r="F8" i="22" l="1"/>
  <c r="F62" i="22" l="1"/>
  <c r="E31" i="22" l="1"/>
  <c r="E145" i="22"/>
  <c r="G145" i="22"/>
  <c r="F145" i="22"/>
  <c r="D145" i="22"/>
  <c r="E26" i="22" l="1"/>
  <c r="D97" i="22" l="1"/>
  <c r="H126" i="22"/>
  <c r="F137" i="22" l="1"/>
  <c r="F138" i="22" s="1"/>
  <c r="C62" i="22"/>
  <c r="E187" i="22"/>
  <c r="E186" i="22"/>
  <c r="E185" i="22"/>
  <c r="E184" i="22"/>
  <c r="E183" i="22"/>
  <c r="E182" i="22"/>
  <c r="E181" i="22"/>
  <c r="E180" i="22"/>
  <c r="E179" i="22"/>
  <c r="E178" i="22"/>
  <c r="E177" i="22"/>
  <c r="E176" i="22"/>
  <c r="E175" i="22"/>
  <c r="E174" i="22"/>
  <c r="E173" i="22"/>
  <c r="E169" i="22"/>
  <c r="E167" i="22"/>
  <c r="E166" i="22"/>
  <c r="E165" i="22"/>
  <c r="I147" i="22"/>
  <c r="J148" i="22" s="1"/>
  <c r="U133" i="22"/>
  <c r="R133" i="22"/>
  <c r="N133" i="22"/>
  <c r="AE113" i="22"/>
  <c r="AF104" i="22"/>
  <c r="AH90" i="22"/>
  <c r="AG90" i="22"/>
  <c r="AF90" i="22"/>
  <c r="AE90" i="22"/>
  <c r="AD90" i="22"/>
  <c r="AC90" i="22"/>
  <c r="AB90" i="22"/>
  <c r="AA90" i="22"/>
  <c r="Z90" i="22"/>
  <c r="Y90" i="22"/>
  <c r="X90" i="22"/>
  <c r="W90" i="22"/>
  <c r="V90" i="22"/>
  <c r="U90" i="22"/>
  <c r="T90" i="22"/>
  <c r="S90" i="22"/>
  <c r="R90" i="22"/>
  <c r="Q90" i="22"/>
  <c r="P90" i="22"/>
  <c r="O90" i="22"/>
  <c r="N90" i="22"/>
  <c r="M90" i="22"/>
  <c r="L90" i="22"/>
  <c r="K90" i="22"/>
  <c r="J90" i="22"/>
  <c r="I90" i="22"/>
  <c r="H90" i="22"/>
  <c r="G90" i="22"/>
  <c r="F90" i="22"/>
  <c r="F91" i="22" s="1"/>
  <c r="F94" i="22" s="1"/>
  <c r="F96" i="22" s="1"/>
  <c r="E90" i="22"/>
  <c r="D90" i="22"/>
  <c r="C90" i="22"/>
  <c r="AI89" i="22"/>
  <c r="AI87" i="22"/>
  <c r="AI86" i="22"/>
  <c r="AI85" i="22"/>
  <c r="AI84" i="22"/>
  <c r="AI83" i="22"/>
  <c r="AI82" i="22"/>
  <c r="AI81" i="22"/>
  <c r="AI80" i="22"/>
  <c r="AI79" i="22"/>
  <c r="AI76" i="22"/>
  <c r="AI75" i="22"/>
  <c r="AI74" i="22"/>
  <c r="AI72" i="22"/>
  <c r="AI71" i="22"/>
  <c r="AI70" i="22"/>
  <c r="AI69" i="22"/>
  <c r="AI68" i="22"/>
  <c r="AI67" i="22"/>
  <c r="AI65" i="22"/>
  <c r="AI64" i="22"/>
  <c r="AI62" i="22"/>
  <c r="AH62" i="22"/>
  <c r="AG62" i="22"/>
  <c r="AG91" i="22" s="1"/>
  <c r="AF62" i="22"/>
  <c r="AF91" i="22" s="1"/>
  <c r="AD62" i="22"/>
  <c r="AC62" i="22"/>
  <c r="AB62" i="22"/>
  <c r="AA62" i="22"/>
  <c r="Z62" i="22"/>
  <c r="Y62" i="22"/>
  <c r="S62" i="22"/>
  <c r="S91" i="22" s="1"/>
  <c r="S94" i="22" s="1"/>
  <c r="S96" i="22" s="1"/>
  <c r="R62" i="22"/>
  <c r="R91" i="22" s="1"/>
  <c r="R94" i="22" s="1"/>
  <c r="R96" i="22" s="1"/>
  <c r="Q62" i="22"/>
  <c r="M62" i="22"/>
  <c r="I62" i="22"/>
  <c r="H62" i="22"/>
  <c r="G62" i="22"/>
  <c r="E62" i="22"/>
  <c r="D62" i="22"/>
  <c r="U62" i="22"/>
  <c r="J62" i="22"/>
  <c r="AJ43" i="22"/>
  <c r="AE62" i="22"/>
  <c r="AJ37" i="22"/>
  <c r="AL34" i="22"/>
  <c r="T62" i="22"/>
  <c r="T91" i="22" s="1"/>
  <c r="N62" i="22"/>
  <c r="AJ16" i="22"/>
  <c r="Q147" i="22"/>
  <c r="R149" i="22"/>
  <c r="AE126" i="22"/>
  <c r="P147" i="22"/>
  <c r="AA139" i="22"/>
  <c r="G195" i="22"/>
  <c r="AE117" i="22"/>
  <c r="G202" i="22"/>
  <c r="AE131" i="22"/>
  <c r="U144" i="22"/>
  <c r="Q155" i="22"/>
  <c r="D130" i="22"/>
  <c r="D199" i="22"/>
  <c r="E199" i="22"/>
  <c r="E195" i="22"/>
  <c r="AD133" i="22"/>
  <c r="Y144" i="22"/>
  <c r="F199" i="22"/>
  <c r="AC135" i="22"/>
  <c r="Y125" i="22"/>
  <c r="E192" i="22"/>
  <c r="G199" i="22"/>
  <c r="AC131" i="22"/>
  <c r="AB131" i="22"/>
  <c r="AF116" i="22"/>
  <c r="X133" i="22"/>
  <c r="R145" i="22"/>
  <c r="S149" i="22"/>
  <c r="G125" i="22"/>
  <c r="AB137" i="22"/>
  <c r="AH115" i="22"/>
  <c r="AI115" i="22"/>
  <c r="AD137" i="22"/>
  <c r="T144" i="22"/>
  <c r="S155" i="22"/>
  <c r="AD131" i="22"/>
  <c r="Q145" i="22"/>
  <c r="AA131" i="22"/>
  <c r="G130" i="22"/>
  <c r="AA133" i="22"/>
  <c r="AD155" i="22"/>
  <c r="D202" i="22"/>
  <c r="D192" i="22"/>
  <c r="AB135" i="22"/>
  <c r="T137" i="22"/>
  <c r="AG115" i="22"/>
  <c r="W139" i="22"/>
  <c r="U137" i="22"/>
  <c r="Y139" i="22"/>
  <c r="R155" i="22"/>
  <c r="AA135" i="22"/>
  <c r="P153" i="22"/>
  <c r="S151" i="22"/>
  <c r="Q149" i="22"/>
  <c r="P155" i="22"/>
  <c r="F130" i="22"/>
  <c r="F202" i="22"/>
  <c r="AB133" i="22"/>
  <c r="AC133" i="22"/>
  <c r="G192" i="22"/>
  <c r="W144" i="22"/>
  <c r="F195" i="22"/>
  <c r="R147" i="22"/>
  <c r="F192" i="22"/>
  <c r="T139" i="22"/>
  <c r="AB139" i="22"/>
  <c r="U139" i="22"/>
  <c r="E202" i="22"/>
  <c r="H189" i="22"/>
  <c r="H196" i="22"/>
  <c r="AE135" i="22"/>
  <c r="P149" i="22"/>
  <c r="D195" i="22"/>
  <c r="AA137" i="22"/>
  <c r="AD153" i="22"/>
  <c r="X139" i="22"/>
  <c r="H130" i="22"/>
  <c r="X144" i="22"/>
  <c r="I125" i="22"/>
  <c r="AC139" i="22"/>
  <c r="Y127" i="22"/>
  <c r="V139" i="22"/>
  <c r="S153" i="22"/>
  <c r="V144" i="22"/>
  <c r="AD135" i="22"/>
  <c r="S147" i="22"/>
  <c r="R151" i="22"/>
  <c r="R153" i="22"/>
  <c r="E130" i="22"/>
  <c r="Q153" i="22"/>
  <c r="W137" i="22"/>
  <c r="AC137" i="22"/>
  <c r="AJ115" i="22"/>
  <c r="V137" i="22"/>
  <c r="P145" i="22"/>
  <c r="Q91" i="22" l="1"/>
  <c r="Q94" i="22" s="1"/>
  <c r="H91" i="22"/>
  <c r="AE91" i="22"/>
  <c r="G91" i="22"/>
  <c r="I91" i="22"/>
  <c r="N91" i="22"/>
  <c r="J91" i="22"/>
  <c r="D91" i="22"/>
  <c r="D94" i="22" s="1"/>
  <c r="D96" i="22" s="1"/>
  <c r="L91" i="22"/>
  <c r="L94" i="22" s="1"/>
  <c r="Z91" i="22"/>
  <c r="AB91" i="22"/>
  <c r="AD91" i="22"/>
  <c r="U91" i="22"/>
  <c r="U94" i="22" s="1"/>
  <c r="Y91" i="22"/>
  <c r="AA91" i="22"/>
  <c r="AC91" i="22"/>
  <c r="AI90" i="22"/>
  <c r="C91" i="22"/>
  <c r="C94" i="22" s="1"/>
  <c r="E91" i="22"/>
  <c r="E94" i="22" s="1"/>
  <c r="E96" i="22" s="1"/>
  <c r="K91" i="22"/>
  <c r="K94" i="22" s="1"/>
  <c r="K96" i="22" s="1"/>
  <c r="M91" i="22"/>
  <c r="O62" i="22"/>
  <c r="O91" i="22" s="1"/>
  <c r="W62" i="22"/>
  <c r="W91" i="22" s="1"/>
  <c r="P62" i="22"/>
  <c r="P91" i="22" s="1"/>
  <c r="V62" i="22"/>
  <c r="V91" i="22" s="1"/>
  <c r="X62" i="22"/>
  <c r="X91" i="22" s="1"/>
  <c r="AE71" i="21"/>
  <c r="AE57" i="21"/>
  <c r="AA146" i="21"/>
  <c r="AC146" i="21"/>
  <c r="AB146" i="21"/>
  <c r="AI91" i="22" l="1"/>
  <c r="AA144" i="21"/>
  <c r="AB144" i="21"/>
  <c r="AE142" i="21"/>
  <c r="AD144" i="21"/>
  <c r="AA142" i="21"/>
  <c r="AB142" i="21"/>
  <c r="AD142" i="21"/>
  <c r="AC142" i="21"/>
  <c r="AC144" i="21"/>
  <c r="X40" i="21" l="1"/>
  <c r="X111" i="21" s="1"/>
  <c r="AF118" i="21" l="1"/>
  <c r="W46" i="21" l="1"/>
  <c r="W36" i="21"/>
  <c r="W41" i="21"/>
  <c r="W111" i="21" l="1"/>
  <c r="V46" i="21"/>
  <c r="V111" i="21" s="1"/>
  <c r="W107" i="21" s="1"/>
  <c r="AA140" i="21"/>
  <c r="AC140" i="21"/>
  <c r="AD140" i="21"/>
  <c r="AB140" i="21"/>
  <c r="U111" i="21" l="1"/>
  <c r="U71" i="21" l="1"/>
  <c r="T34" i="21" l="1"/>
  <c r="X148" i="21"/>
  <c r="Y146" i="21"/>
  <c r="Y148" i="21"/>
  <c r="U148" i="21"/>
  <c r="V148" i="21"/>
  <c r="T148" i="21"/>
  <c r="W148" i="21"/>
  <c r="X146" i="21"/>
  <c r="W146" i="21"/>
  <c r="U140" i="21" l="1"/>
  <c r="P54" i="21"/>
  <c r="P60" i="21"/>
  <c r="P32" i="21" l="1"/>
  <c r="P111" i="21" s="1"/>
  <c r="O54" i="21" l="1"/>
  <c r="O111" i="21" l="1"/>
  <c r="O75" i="21"/>
  <c r="N34" i="21"/>
  <c r="K127" i="21"/>
  <c r="M127" i="21"/>
  <c r="L127" i="21"/>
  <c r="J59" i="21" l="1"/>
  <c r="F13" i="21" l="1"/>
  <c r="G137" i="21"/>
  <c r="H137" i="21"/>
  <c r="AG66" i="20" l="1"/>
  <c r="AG52" i="20"/>
  <c r="C104" i="21" l="1"/>
  <c r="C75" i="21"/>
  <c r="E186" i="21"/>
  <c r="E185" i="21"/>
  <c r="E184" i="21"/>
  <c r="E183" i="21"/>
  <c r="E182" i="21"/>
  <c r="E181" i="21"/>
  <c r="E180" i="21"/>
  <c r="E179" i="21"/>
  <c r="E178" i="21"/>
  <c r="E177" i="21"/>
  <c r="E176" i="21"/>
  <c r="E175" i="21"/>
  <c r="E174" i="21"/>
  <c r="E173" i="21"/>
  <c r="E172" i="21"/>
  <c r="E171" i="21"/>
  <c r="E170" i="21"/>
  <c r="E169" i="21"/>
  <c r="E168" i="21"/>
  <c r="I151" i="21"/>
  <c r="J152" i="21" s="1"/>
  <c r="R140" i="21"/>
  <c r="N140" i="21"/>
  <c r="AE127" i="21"/>
  <c r="G125" i="21"/>
  <c r="M123" i="21"/>
  <c r="K123" i="21"/>
  <c r="X120" i="21"/>
  <c r="Z119" i="21"/>
  <c r="AH104" i="21"/>
  <c r="AG104" i="21"/>
  <c r="AF104" i="21"/>
  <c r="AE104" i="21"/>
  <c r="AD104" i="21"/>
  <c r="AC104" i="21"/>
  <c r="AB104" i="21"/>
  <c r="AA104" i="21"/>
  <c r="Z104" i="21"/>
  <c r="Y104" i="21"/>
  <c r="X104" i="21"/>
  <c r="W104" i="21"/>
  <c r="V104" i="21"/>
  <c r="U104" i="21"/>
  <c r="T104" i="21"/>
  <c r="S104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F104" i="21"/>
  <c r="E104" i="21"/>
  <c r="D104" i="21"/>
  <c r="AI103" i="21"/>
  <c r="AI101" i="21"/>
  <c r="AI100" i="21"/>
  <c r="AI99" i="21"/>
  <c r="AI97" i="21"/>
  <c r="AI96" i="21"/>
  <c r="AI95" i="21"/>
  <c r="AI94" i="21"/>
  <c r="AI93" i="21"/>
  <c r="AI92" i="21"/>
  <c r="AI89" i="21"/>
  <c r="AI88" i="21"/>
  <c r="AI87" i="21"/>
  <c r="AI85" i="21"/>
  <c r="AI84" i="21"/>
  <c r="AI83" i="21"/>
  <c r="AI82" i="21"/>
  <c r="AI81" i="21"/>
  <c r="AI80" i="21"/>
  <c r="AI78" i="21"/>
  <c r="AI77" i="21"/>
  <c r="AI75" i="21"/>
  <c r="AH75" i="21"/>
  <c r="AG75" i="21"/>
  <c r="AD75" i="21"/>
  <c r="AC75" i="21"/>
  <c r="AB75" i="21"/>
  <c r="W75" i="21"/>
  <c r="V75" i="21"/>
  <c r="U75" i="21"/>
  <c r="T75" i="21"/>
  <c r="S75" i="21"/>
  <c r="R75" i="21"/>
  <c r="Q75" i="21"/>
  <c r="O105" i="21"/>
  <c r="O108" i="21" s="1"/>
  <c r="O110" i="21" s="1"/>
  <c r="N75" i="21"/>
  <c r="N105" i="21" s="1"/>
  <c r="M75" i="21"/>
  <c r="K75" i="21"/>
  <c r="J75" i="21"/>
  <c r="I75" i="21"/>
  <c r="H75" i="21"/>
  <c r="G75" i="21"/>
  <c r="E75" i="21"/>
  <c r="E105" i="21" s="1"/>
  <c r="D75" i="21"/>
  <c r="D105" i="21" s="1"/>
  <c r="F75" i="21"/>
  <c r="AJ58" i="21"/>
  <c r="AJ52" i="21"/>
  <c r="AL49" i="21"/>
  <c r="AJ48" i="21"/>
  <c r="Z75" i="21"/>
  <c r="Z105" i="21" s="1"/>
  <c r="Y75" i="21"/>
  <c r="Y105" i="21" s="1"/>
  <c r="L75" i="21"/>
  <c r="L105" i="21" s="1"/>
  <c r="AA75" i="21"/>
  <c r="AA105" i="21" s="1"/>
  <c r="AJ16" i="21"/>
  <c r="X75" i="21"/>
  <c r="P75" i="21"/>
  <c r="P105" i="21" s="1"/>
  <c r="P108" i="21" s="1"/>
  <c r="P110" i="21" s="1"/>
  <c r="L129" i="21"/>
  <c r="AD159" i="21"/>
  <c r="D194" i="21"/>
  <c r="D201" i="21"/>
  <c r="M131" i="21"/>
  <c r="H133" i="21"/>
  <c r="G201" i="21"/>
  <c r="L131" i="21"/>
  <c r="P153" i="21"/>
  <c r="F191" i="21"/>
  <c r="H188" i="21"/>
  <c r="R153" i="21"/>
  <c r="P151" i="21"/>
  <c r="Q159" i="21"/>
  <c r="AD157" i="21"/>
  <c r="AD138" i="21"/>
  <c r="AI129" i="21"/>
  <c r="Q151" i="21"/>
  <c r="G191" i="21"/>
  <c r="D137" i="21"/>
  <c r="Q153" i="21"/>
  <c r="H195" i="21"/>
  <c r="K129" i="21"/>
  <c r="AJ129" i="21"/>
  <c r="R157" i="21"/>
  <c r="R155" i="21"/>
  <c r="E198" i="21"/>
  <c r="G132" i="21"/>
  <c r="K131" i="21"/>
  <c r="E191" i="21"/>
  <c r="R159" i="21"/>
  <c r="AE138" i="21"/>
  <c r="AG129" i="21"/>
  <c r="G194" i="21"/>
  <c r="F201" i="21"/>
  <c r="M129" i="21"/>
  <c r="W144" i="21"/>
  <c r="I132" i="21"/>
  <c r="U146" i="21"/>
  <c r="R149" i="21"/>
  <c r="S155" i="21"/>
  <c r="V146" i="21"/>
  <c r="Y134" i="21"/>
  <c r="AA138" i="21"/>
  <c r="E194" i="21"/>
  <c r="T146" i="21"/>
  <c r="Y132" i="21"/>
  <c r="P157" i="21"/>
  <c r="F198" i="21"/>
  <c r="G198" i="21"/>
  <c r="X140" i="21"/>
  <c r="V144" i="21"/>
  <c r="S157" i="21"/>
  <c r="AC138" i="21"/>
  <c r="AB138" i="21"/>
  <c r="S159" i="21"/>
  <c r="P159" i="21"/>
  <c r="F137" i="21"/>
  <c r="T144" i="21"/>
  <c r="E201" i="21"/>
  <c r="D191" i="21"/>
  <c r="P149" i="21"/>
  <c r="AF130" i="21"/>
  <c r="U144" i="21"/>
  <c r="R151" i="21"/>
  <c r="E137" i="21"/>
  <c r="AH129" i="21"/>
  <c r="S151" i="21"/>
  <c r="F194" i="21"/>
  <c r="AE133" i="21"/>
  <c r="D198" i="21"/>
  <c r="AE131" i="21"/>
  <c r="S153" i="21"/>
  <c r="Q157" i="21"/>
  <c r="Q149" i="21"/>
  <c r="X105" i="21" l="1"/>
  <c r="X108" i="21" s="1"/>
  <c r="F105" i="21"/>
  <c r="F108" i="21" s="1"/>
  <c r="F110" i="21" s="1"/>
  <c r="AE75" i="21"/>
  <c r="AE105" i="21" s="1"/>
  <c r="G105" i="21"/>
  <c r="G108" i="21" s="1"/>
  <c r="K105" i="21"/>
  <c r="Q105" i="21"/>
  <c r="S105" i="21"/>
  <c r="U105" i="21"/>
  <c r="U108" i="21" s="1"/>
  <c r="W105" i="21"/>
  <c r="W108" i="21" s="1"/>
  <c r="W110" i="21" s="1"/>
  <c r="AC105" i="21"/>
  <c r="AC108" i="21" s="1"/>
  <c r="C105" i="21"/>
  <c r="H105" i="21"/>
  <c r="H108" i="21" s="1"/>
  <c r="J105" i="21"/>
  <c r="R105" i="21"/>
  <c r="T105" i="21"/>
  <c r="V105" i="21"/>
  <c r="V108" i="21" s="1"/>
  <c r="V110" i="21" s="1"/>
  <c r="AB105" i="21"/>
  <c r="AF75" i="21"/>
  <c r="AF105" i="21" s="1"/>
  <c r="I105" i="21"/>
  <c r="I108" i="21" s="1"/>
  <c r="I110" i="21" s="1"/>
  <c r="M105" i="21"/>
  <c r="AG105" i="21"/>
  <c r="AD105" i="21"/>
  <c r="AI104" i="21"/>
  <c r="U110" i="21" l="1"/>
  <c r="AI105" i="21"/>
  <c r="AA55" i="20"/>
  <c r="AA37" i="20"/>
  <c r="AA18" i="20"/>
  <c r="Z34" i="20" l="1"/>
  <c r="Y32" i="20" l="1"/>
  <c r="X10" i="20" l="1"/>
  <c r="W102" i="20" l="1"/>
  <c r="W103" i="20" s="1"/>
  <c r="T114" i="20" l="1"/>
  <c r="U149" i="20"/>
  <c r="T147" i="20"/>
  <c r="V147" i="20"/>
  <c r="U147" i="20"/>
  <c r="W147" i="20"/>
  <c r="T149" i="20"/>
  <c r="V149" i="20"/>
  <c r="R30" i="20" l="1"/>
  <c r="R67" i="20" s="1"/>
  <c r="Q102" i="20" l="1"/>
  <c r="P52" i="20" l="1"/>
  <c r="P17" i="20"/>
  <c r="P7" i="20"/>
  <c r="L32" i="20" l="1"/>
  <c r="I154" i="20"/>
  <c r="J155" i="20" s="1"/>
  <c r="K102" i="20" l="1"/>
  <c r="F133" i="20"/>
  <c r="F54" i="20" l="1"/>
  <c r="G137" i="20"/>
  <c r="F137" i="20"/>
  <c r="E137" i="20"/>
  <c r="Z116" i="20" l="1"/>
  <c r="C102" i="20"/>
  <c r="D98" i="20" s="1"/>
  <c r="C67" i="20"/>
  <c r="E189" i="20"/>
  <c r="E188" i="20"/>
  <c r="E187" i="20"/>
  <c r="E186" i="20"/>
  <c r="E185" i="20"/>
  <c r="E184" i="20"/>
  <c r="E183" i="20"/>
  <c r="E182" i="20"/>
  <c r="E181" i="20"/>
  <c r="E180" i="20"/>
  <c r="E179" i="20"/>
  <c r="E178" i="20"/>
  <c r="E177" i="20"/>
  <c r="E176" i="20"/>
  <c r="E175" i="20"/>
  <c r="E174" i="20"/>
  <c r="E173" i="20"/>
  <c r="E172" i="20"/>
  <c r="E171" i="20"/>
  <c r="R143" i="20"/>
  <c r="N143" i="20"/>
  <c r="AE124" i="20"/>
  <c r="G122" i="20"/>
  <c r="M120" i="20"/>
  <c r="K120" i="20"/>
  <c r="X117" i="20"/>
  <c r="I112" i="20"/>
  <c r="AF105" i="20"/>
  <c r="AF115" i="20" s="1"/>
  <c r="AH95" i="20"/>
  <c r="AG95" i="20"/>
  <c r="AF95" i="20"/>
  <c r="AE95" i="20"/>
  <c r="AD95" i="20"/>
  <c r="AC95" i="20"/>
  <c r="AB95" i="20"/>
  <c r="AA95" i="20"/>
  <c r="Z95" i="20"/>
  <c r="Y95" i="20"/>
  <c r="X95" i="20"/>
  <c r="W95" i="20"/>
  <c r="V95" i="20"/>
  <c r="U95" i="20"/>
  <c r="T95" i="20"/>
  <c r="S95" i="20"/>
  <c r="R95" i="20"/>
  <c r="Q95" i="20"/>
  <c r="P95" i="20"/>
  <c r="O95" i="20"/>
  <c r="N95" i="20"/>
  <c r="M95" i="20"/>
  <c r="L95" i="20"/>
  <c r="K95" i="20"/>
  <c r="J95" i="20"/>
  <c r="I95" i="20"/>
  <c r="H95" i="20"/>
  <c r="G95" i="20"/>
  <c r="F95" i="20"/>
  <c r="E95" i="20"/>
  <c r="D95" i="20"/>
  <c r="C95" i="20"/>
  <c r="AI94" i="20"/>
  <c r="AI92" i="20"/>
  <c r="AI91" i="20"/>
  <c r="AI90" i="20"/>
  <c r="AI88" i="20"/>
  <c r="AI87" i="20"/>
  <c r="AI86" i="20"/>
  <c r="AI85" i="20"/>
  <c r="AI84" i="20"/>
  <c r="AI83" i="20"/>
  <c r="AI80" i="20"/>
  <c r="AI79" i="20"/>
  <c r="AI78" i="20"/>
  <c r="AI77" i="20"/>
  <c r="AI76" i="20"/>
  <c r="AI75" i="20"/>
  <c r="AI74" i="20"/>
  <c r="AI73" i="20"/>
  <c r="AI72" i="20"/>
  <c r="AI70" i="20"/>
  <c r="AI69" i="20"/>
  <c r="AI67" i="20"/>
  <c r="AH67" i="20"/>
  <c r="AG67" i="20"/>
  <c r="AG96" i="20" s="1"/>
  <c r="AF67" i="20"/>
  <c r="AF96" i="20" s="1"/>
  <c r="AE67" i="20"/>
  <c r="AE96" i="20" s="1"/>
  <c r="AC67" i="20"/>
  <c r="AB67" i="20"/>
  <c r="Z67" i="20"/>
  <c r="Z96" i="20" s="1"/>
  <c r="Z99" i="20" s="1"/>
  <c r="Z101" i="20" s="1"/>
  <c r="Y67" i="20"/>
  <c r="Y96" i="20" s="1"/>
  <c r="X67" i="20"/>
  <c r="X96" i="20" s="1"/>
  <c r="X99" i="20" s="1"/>
  <c r="X101" i="20" s="1"/>
  <c r="W67" i="20"/>
  <c r="W96" i="20" s="1"/>
  <c r="W99" i="20" s="1"/>
  <c r="W101" i="20" s="1"/>
  <c r="V67" i="20"/>
  <c r="V96" i="20" s="1"/>
  <c r="U67" i="20"/>
  <c r="U96" i="20" s="1"/>
  <c r="T67" i="20"/>
  <c r="T96" i="20" s="1"/>
  <c r="T99" i="20" s="1"/>
  <c r="S67" i="20"/>
  <c r="S96" i="20" s="1"/>
  <c r="R96" i="20"/>
  <c r="R99" i="20" s="1"/>
  <c r="Q67" i="20"/>
  <c r="Q96" i="20" s="1"/>
  <c r="Q99" i="20" s="1"/>
  <c r="Q101" i="20" s="1"/>
  <c r="O67" i="20"/>
  <c r="N67" i="20"/>
  <c r="M67" i="20"/>
  <c r="L67" i="20"/>
  <c r="K67" i="20"/>
  <c r="J67" i="20"/>
  <c r="I67" i="20"/>
  <c r="H67" i="20"/>
  <c r="G67" i="20"/>
  <c r="E67" i="20"/>
  <c r="E96" i="20" s="1"/>
  <c r="D67" i="20"/>
  <c r="D96" i="20" s="1"/>
  <c r="F67" i="20"/>
  <c r="AJ53" i="20"/>
  <c r="AJ45" i="20"/>
  <c r="AL42" i="20"/>
  <c r="AJ41" i="20"/>
  <c r="P67" i="20"/>
  <c r="AJ16" i="20"/>
  <c r="AD67" i="20"/>
  <c r="AD96" i="20" s="1"/>
  <c r="AD99" i="20" s="1"/>
  <c r="AD101" i="20" s="1"/>
  <c r="AD51" i="19"/>
  <c r="AD17" i="19"/>
  <c r="AD7" i="19"/>
  <c r="Y131" i="20"/>
  <c r="G197" i="20"/>
  <c r="AD138" i="20"/>
  <c r="AC138" i="20"/>
  <c r="F201" i="20"/>
  <c r="H198" i="20"/>
  <c r="X135" i="20"/>
  <c r="Y129" i="20"/>
  <c r="AE138" i="20"/>
  <c r="X143" i="20"/>
  <c r="P152" i="20"/>
  <c r="AH126" i="20"/>
  <c r="G129" i="20"/>
  <c r="X141" i="20"/>
  <c r="R158" i="20"/>
  <c r="S152" i="20"/>
  <c r="F135" i="20"/>
  <c r="R162" i="20"/>
  <c r="F197" i="20"/>
  <c r="AD162" i="20"/>
  <c r="L128" i="20"/>
  <c r="D194" i="20"/>
  <c r="Q156" i="20"/>
  <c r="AC134" i="20"/>
  <c r="S156" i="20"/>
  <c r="Q160" i="20"/>
  <c r="F204" i="20"/>
  <c r="AD136" i="20"/>
  <c r="Q152" i="20"/>
  <c r="AI126" i="20"/>
  <c r="G135" i="20"/>
  <c r="AF127" i="20"/>
  <c r="D197" i="20"/>
  <c r="AE136" i="20"/>
  <c r="M126" i="20"/>
  <c r="H130" i="20"/>
  <c r="S160" i="20"/>
  <c r="D133" i="20"/>
  <c r="M128" i="20"/>
  <c r="AB138" i="20"/>
  <c r="P160" i="20"/>
  <c r="I129" i="20"/>
  <c r="D204" i="20"/>
  <c r="K128" i="20"/>
  <c r="D137" i="20"/>
  <c r="P156" i="20"/>
  <c r="AB134" i="20"/>
  <c r="AA136" i="20"/>
  <c r="AG126" i="20"/>
  <c r="AD160" i="20"/>
  <c r="E204" i="20"/>
  <c r="K126" i="20"/>
  <c r="AA138" i="20"/>
  <c r="F194" i="20"/>
  <c r="E194" i="20"/>
  <c r="P158" i="20"/>
  <c r="P162" i="20"/>
  <c r="AE130" i="20"/>
  <c r="E201" i="20"/>
  <c r="R154" i="20"/>
  <c r="AE128" i="20"/>
  <c r="H191" i="20"/>
  <c r="AC136" i="20"/>
  <c r="E135" i="20"/>
  <c r="Q162" i="20"/>
  <c r="AB136" i="20"/>
  <c r="D135" i="20"/>
  <c r="AE134" i="20"/>
  <c r="AD134" i="20"/>
  <c r="E197" i="20"/>
  <c r="D201" i="20"/>
  <c r="R160" i="20"/>
  <c r="P154" i="20"/>
  <c r="E133" i="20"/>
  <c r="AJ126" i="20"/>
  <c r="X137" i="20"/>
  <c r="R156" i="20"/>
  <c r="S154" i="20"/>
  <c r="L126" i="20"/>
  <c r="G194" i="20"/>
  <c r="S158" i="20"/>
  <c r="Q154" i="20"/>
  <c r="R152" i="20"/>
  <c r="S162" i="20"/>
  <c r="G204" i="20"/>
  <c r="G201" i="20"/>
  <c r="Q158" i="20"/>
  <c r="P96" i="20" l="1"/>
  <c r="H96" i="20"/>
  <c r="J96" i="20"/>
  <c r="N96" i="20"/>
  <c r="AB96" i="20"/>
  <c r="L96" i="20"/>
  <c r="F96" i="20"/>
  <c r="AI95" i="20"/>
  <c r="C96" i="20"/>
  <c r="C99" i="20" s="1"/>
  <c r="C101" i="20" s="1"/>
  <c r="G96" i="20"/>
  <c r="I96" i="20"/>
  <c r="I99" i="20" s="1"/>
  <c r="K96" i="20"/>
  <c r="K99" i="20" s="1"/>
  <c r="K101" i="20" s="1"/>
  <c r="L98" i="20" s="1"/>
  <c r="M96" i="20"/>
  <c r="O96" i="20"/>
  <c r="AC96" i="20"/>
  <c r="AA67" i="20"/>
  <c r="AA96" i="20" s="1"/>
  <c r="AD135" i="19"/>
  <c r="AB135" i="19"/>
  <c r="AE131" i="19"/>
  <c r="AE133" i="19"/>
  <c r="AC135" i="19"/>
  <c r="AD133" i="19"/>
  <c r="AD131" i="19"/>
  <c r="AE135" i="19"/>
  <c r="AA135" i="19"/>
  <c r="AI96" i="20" l="1"/>
  <c r="AA54" i="19"/>
  <c r="AA53" i="19"/>
  <c r="AA64" i="19" l="1"/>
  <c r="AA99" i="19"/>
  <c r="AF102" i="19"/>
  <c r="AF112" i="19" s="1"/>
  <c r="Y99" i="19" l="1"/>
  <c r="X99" i="19" l="1"/>
  <c r="X64" i="19" l="1"/>
  <c r="P92" i="19"/>
  <c r="S157" i="19"/>
  <c r="T155" i="19"/>
  <c r="T153" i="19"/>
  <c r="P155" i="19"/>
  <c r="P153" i="19"/>
  <c r="R159" i="19"/>
  <c r="R155" i="19"/>
  <c r="R153" i="19"/>
  <c r="Q155" i="19"/>
  <c r="P157" i="19"/>
  <c r="S159" i="19"/>
  <c r="R157" i="19"/>
  <c r="Q159" i="19"/>
  <c r="P159" i="19"/>
  <c r="T157" i="19"/>
  <c r="S153" i="19"/>
  <c r="S155" i="19"/>
  <c r="Q157" i="19"/>
  <c r="Q153" i="19"/>
  <c r="P35" i="19" l="1"/>
  <c r="P31" i="19"/>
  <c r="P64" i="19" l="1"/>
  <c r="R140" i="19"/>
  <c r="M99" i="19"/>
  <c r="L99" i="19" l="1"/>
  <c r="L64" i="19"/>
  <c r="N140" i="19" l="1"/>
  <c r="K37" i="19" l="1"/>
  <c r="K33" i="19" l="1"/>
  <c r="F132" i="19"/>
  <c r="G132" i="19"/>
  <c r="D130" i="19"/>
  <c r="F130" i="19"/>
  <c r="D132" i="19"/>
  <c r="E132" i="19"/>
  <c r="E130" i="19"/>
  <c r="D134" i="19"/>
  <c r="F53" i="19" l="1"/>
  <c r="D99" i="19" l="1"/>
  <c r="E64" i="19"/>
  <c r="E186" i="19" l="1"/>
  <c r="E185" i="19"/>
  <c r="E184" i="19"/>
  <c r="E183" i="19"/>
  <c r="E182" i="19"/>
  <c r="E181" i="19"/>
  <c r="E180" i="19"/>
  <c r="E179" i="19"/>
  <c r="E178" i="19"/>
  <c r="E177" i="19"/>
  <c r="E176" i="19"/>
  <c r="E175" i="19"/>
  <c r="E174" i="19"/>
  <c r="E173" i="19"/>
  <c r="E172" i="19"/>
  <c r="E171" i="19"/>
  <c r="E170" i="19"/>
  <c r="E169" i="19"/>
  <c r="E168" i="19"/>
  <c r="W165" i="19"/>
  <c r="V160" i="19"/>
  <c r="AE121" i="19"/>
  <c r="G119" i="19"/>
  <c r="M117" i="19"/>
  <c r="K117" i="19"/>
  <c r="X114" i="19"/>
  <c r="I109" i="19"/>
  <c r="AH92" i="19"/>
  <c r="AG92" i="19"/>
  <c r="AF92" i="19"/>
  <c r="AE92" i="19"/>
  <c r="AD92" i="19"/>
  <c r="AC92" i="19"/>
  <c r="AB92" i="19"/>
  <c r="AA92" i="19"/>
  <c r="Z92" i="19"/>
  <c r="Y92" i="19"/>
  <c r="X92" i="19"/>
  <c r="W92" i="19"/>
  <c r="V92" i="19"/>
  <c r="U92" i="19"/>
  <c r="T92" i="19"/>
  <c r="S92" i="19"/>
  <c r="R92" i="19"/>
  <c r="Q92" i="19"/>
  <c r="O92" i="19"/>
  <c r="N92" i="19"/>
  <c r="M92" i="19"/>
  <c r="L92" i="19"/>
  <c r="L93" i="19" s="1"/>
  <c r="L96" i="19" s="1"/>
  <c r="L98" i="19" s="1"/>
  <c r="K92" i="19"/>
  <c r="J92" i="19"/>
  <c r="I92" i="19"/>
  <c r="H92" i="19"/>
  <c r="G92" i="19"/>
  <c r="F92" i="19"/>
  <c r="E92" i="19"/>
  <c r="D92" i="19"/>
  <c r="C92" i="19"/>
  <c r="AI91" i="19"/>
  <c r="AI89" i="19"/>
  <c r="AI88" i="19"/>
  <c r="AI87" i="19"/>
  <c r="AI85" i="19"/>
  <c r="AI84" i="19"/>
  <c r="AI83" i="19"/>
  <c r="AI82" i="19"/>
  <c r="AI81" i="19"/>
  <c r="AI80" i="19"/>
  <c r="AI77" i="19"/>
  <c r="AI76" i="19"/>
  <c r="AI75" i="19"/>
  <c r="AI74" i="19"/>
  <c r="AI73" i="19"/>
  <c r="AI72" i="19"/>
  <c r="AI71" i="19"/>
  <c r="AI70" i="19"/>
  <c r="AI69" i="19"/>
  <c r="AI67" i="19"/>
  <c r="AI66" i="19"/>
  <c r="AI64" i="19"/>
  <c r="AH64" i="19"/>
  <c r="AG64" i="19"/>
  <c r="AF64" i="19"/>
  <c r="AE64" i="19"/>
  <c r="AD64" i="19"/>
  <c r="AC64" i="19"/>
  <c r="AB64" i="19"/>
  <c r="Z64" i="19"/>
  <c r="Y64" i="19"/>
  <c r="W64" i="19"/>
  <c r="V64" i="19"/>
  <c r="U64" i="19"/>
  <c r="T64" i="19"/>
  <c r="S64" i="19"/>
  <c r="R64" i="19"/>
  <c r="Q64" i="19"/>
  <c r="P93" i="19"/>
  <c r="P96" i="19" s="1"/>
  <c r="P98" i="19" s="1"/>
  <c r="O64" i="19"/>
  <c r="N64" i="19"/>
  <c r="M64" i="19"/>
  <c r="K64" i="19"/>
  <c r="J64" i="19"/>
  <c r="I64" i="19"/>
  <c r="H64" i="19"/>
  <c r="G64" i="19"/>
  <c r="F64" i="19"/>
  <c r="D64" i="19"/>
  <c r="C64" i="19"/>
  <c r="AJ52" i="19"/>
  <c r="AJ44" i="19"/>
  <c r="AL41" i="19"/>
  <c r="AJ40" i="19"/>
  <c r="AJ16" i="19"/>
  <c r="X138" i="19"/>
  <c r="E191" i="19"/>
  <c r="AE127" i="19"/>
  <c r="S151" i="19"/>
  <c r="E201" i="19"/>
  <c r="G191" i="19"/>
  <c r="K123" i="19"/>
  <c r="Q149" i="19"/>
  <c r="AI123" i="19"/>
  <c r="G126" i="19"/>
  <c r="R151" i="19"/>
  <c r="G198" i="19"/>
  <c r="F191" i="19"/>
  <c r="E194" i="19"/>
  <c r="AH123" i="19"/>
  <c r="D201" i="19"/>
  <c r="T151" i="19"/>
  <c r="AB131" i="19"/>
  <c r="S149" i="19"/>
  <c r="X132" i="19"/>
  <c r="AE125" i="19"/>
  <c r="R149" i="19"/>
  <c r="P151" i="19"/>
  <c r="D194" i="19"/>
  <c r="AG123" i="19"/>
  <c r="X140" i="19"/>
  <c r="AC133" i="19"/>
  <c r="T149" i="19"/>
  <c r="L123" i="19"/>
  <c r="E198" i="19"/>
  <c r="AB133" i="19"/>
  <c r="M123" i="19"/>
  <c r="H195" i="19"/>
  <c r="Q151" i="19"/>
  <c r="AA131" i="19"/>
  <c r="D191" i="19"/>
  <c r="AA133" i="19"/>
  <c r="AC131" i="19"/>
  <c r="X134" i="19"/>
  <c r="F201" i="19"/>
  <c r="H188" i="19"/>
  <c r="P149" i="19"/>
  <c r="K125" i="19"/>
  <c r="F194" i="19"/>
  <c r="G201" i="19"/>
  <c r="M125" i="19"/>
  <c r="AD157" i="19"/>
  <c r="Y126" i="19"/>
  <c r="AJ123" i="19"/>
  <c r="F198" i="19"/>
  <c r="I126" i="19"/>
  <c r="G194" i="19"/>
  <c r="H127" i="19"/>
  <c r="Y128" i="19"/>
  <c r="D198" i="19"/>
  <c r="AF124" i="19"/>
  <c r="AD159" i="19"/>
  <c r="L125" i="19"/>
  <c r="F93" i="19" l="1"/>
  <c r="J93" i="19"/>
  <c r="J96" i="19" s="1"/>
  <c r="N93" i="19"/>
  <c r="G93" i="19"/>
  <c r="I93" i="19"/>
  <c r="I96" i="19" s="1"/>
  <c r="I98" i="19" s="1"/>
  <c r="K93" i="19"/>
  <c r="M93" i="19"/>
  <c r="M96" i="19" s="1"/>
  <c r="M98" i="19" s="1"/>
  <c r="O93" i="19"/>
  <c r="R93" i="19"/>
  <c r="R96" i="19" s="1"/>
  <c r="R98" i="19" s="1"/>
  <c r="T98" i="19" s="1"/>
  <c r="T93" i="19"/>
  <c r="V93" i="19"/>
  <c r="X93" i="19"/>
  <c r="X96" i="19" s="1"/>
  <c r="X98" i="19" s="1"/>
  <c r="AB93" i="19"/>
  <c r="AD93" i="19"/>
  <c r="AF93" i="19"/>
  <c r="S93" i="19"/>
  <c r="U93" i="19"/>
  <c r="W93" i="19"/>
  <c r="W96" i="19" s="1"/>
  <c r="W98" i="19" s="1"/>
  <c r="Y93" i="19"/>
  <c r="Y96" i="19" s="1"/>
  <c r="Y98" i="19" s="1"/>
  <c r="AA93" i="19"/>
  <c r="AA96" i="19" s="1"/>
  <c r="AC93" i="19"/>
  <c r="AE93" i="19"/>
  <c r="Q93" i="19"/>
  <c r="AG93" i="19"/>
  <c r="Z93" i="19"/>
  <c r="H93" i="19"/>
  <c r="C93" i="19"/>
  <c r="D93" i="19"/>
  <c r="D96" i="19" s="1"/>
  <c r="D98" i="19" s="1"/>
  <c r="E93" i="19"/>
  <c r="E96" i="19" s="1"/>
  <c r="AI92" i="19"/>
  <c r="AI64" i="18"/>
  <c r="AI63" i="18"/>
  <c r="Z124" i="18"/>
  <c r="AB124" i="18"/>
  <c r="AA124" i="18"/>
  <c r="Z122" i="18"/>
  <c r="AC124" i="18"/>
  <c r="AD124" i="18"/>
  <c r="AD122" i="18"/>
  <c r="AC122" i="18"/>
  <c r="AB122" i="18"/>
  <c r="AA122" i="18"/>
  <c r="AI93" i="19" l="1"/>
  <c r="AB55" i="18" l="1"/>
  <c r="X55" i="18" l="1"/>
  <c r="X83" i="18"/>
  <c r="W90" i="18" l="1"/>
  <c r="W83" i="18" l="1"/>
  <c r="W55" i="18"/>
  <c r="E175" i="18" l="1"/>
  <c r="E174" i="18"/>
  <c r="E173" i="18"/>
  <c r="E172" i="18"/>
  <c r="E171" i="18"/>
  <c r="E170" i="18"/>
  <c r="E169" i="18"/>
  <c r="E168" i="18"/>
  <c r="E167" i="18"/>
  <c r="E166" i="18"/>
  <c r="E165" i="18"/>
  <c r="E164" i="18"/>
  <c r="E163" i="18"/>
  <c r="E162" i="18"/>
  <c r="E161" i="18"/>
  <c r="E160" i="18"/>
  <c r="E159" i="18"/>
  <c r="E158" i="18"/>
  <c r="E157" i="18"/>
  <c r="W154" i="18"/>
  <c r="V149" i="18"/>
  <c r="AE111" i="18"/>
  <c r="G110" i="18"/>
  <c r="M108" i="18"/>
  <c r="K108" i="18"/>
  <c r="X105" i="18"/>
  <c r="I100" i="18"/>
  <c r="R91" i="18"/>
  <c r="AH83" i="18"/>
  <c r="AG83" i="18"/>
  <c r="AF83" i="18"/>
  <c r="AE83" i="18"/>
  <c r="AD83" i="18"/>
  <c r="AC83" i="18"/>
  <c r="AB83" i="18"/>
  <c r="AA83" i="18"/>
  <c r="Z83" i="18"/>
  <c r="Y83" i="18"/>
  <c r="V83" i="18"/>
  <c r="U83" i="18"/>
  <c r="T83" i="18"/>
  <c r="S83" i="18"/>
  <c r="R83" i="18"/>
  <c r="Q83" i="18"/>
  <c r="P83" i="18"/>
  <c r="O83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AI82" i="18"/>
  <c r="AI80" i="18"/>
  <c r="AI79" i="18"/>
  <c r="AI78" i="18"/>
  <c r="AI76" i="18"/>
  <c r="AI75" i="18"/>
  <c r="AI74" i="18"/>
  <c r="AI73" i="18"/>
  <c r="AI72" i="18"/>
  <c r="AI71" i="18"/>
  <c r="AI68" i="18"/>
  <c r="AI67" i="18"/>
  <c r="AI66" i="18"/>
  <c r="AI65" i="18"/>
  <c r="AI62" i="18"/>
  <c r="AI61" i="18"/>
  <c r="AI60" i="18"/>
  <c r="AI58" i="18"/>
  <c r="AI57" i="18"/>
  <c r="AG55" i="18"/>
  <c r="AF55" i="18"/>
  <c r="AF84" i="18" s="1"/>
  <c r="AE55" i="18"/>
  <c r="AD55" i="18"/>
  <c r="AD84" i="18" s="1"/>
  <c r="AD87" i="18" s="1"/>
  <c r="AC55" i="18"/>
  <c r="AA55" i="18"/>
  <c r="Z55" i="18"/>
  <c r="Z84" i="18" s="1"/>
  <c r="Y55" i="18"/>
  <c r="U55" i="18"/>
  <c r="U84" i="18" s="1"/>
  <c r="T55" i="18"/>
  <c r="T84" i="18" s="1"/>
  <c r="T87" i="18" s="1"/>
  <c r="T89" i="18" s="1"/>
  <c r="S55" i="18"/>
  <c r="S84" i="18" s="1"/>
  <c r="S87" i="18" s="1"/>
  <c r="S89" i="18" s="1"/>
  <c r="R55" i="18"/>
  <c r="R84" i="18" s="1"/>
  <c r="Q55" i="18"/>
  <c r="Q84" i="18" s="1"/>
  <c r="M55" i="18"/>
  <c r="K55" i="18"/>
  <c r="J55" i="18"/>
  <c r="J84" i="18" s="1"/>
  <c r="H55" i="18"/>
  <c r="H84" i="18" s="1"/>
  <c r="G55" i="18"/>
  <c r="F55" i="18"/>
  <c r="F84" i="18" s="1"/>
  <c r="F87" i="18" s="1"/>
  <c r="F89" i="18" s="1"/>
  <c r="E55" i="18"/>
  <c r="D55" i="18"/>
  <c r="D84" i="18" s="1"/>
  <c r="C55" i="18"/>
  <c r="AH55" i="18"/>
  <c r="AJ43" i="18"/>
  <c r="AL32" i="18"/>
  <c r="AJ35" i="18"/>
  <c r="N55" i="18"/>
  <c r="N84" i="18" s="1"/>
  <c r="N87" i="18" s="1"/>
  <c r="N89" i="18" s="1"/>
  <c r="L55" i="18"/>
  <c r="L84" i="18" s="1"/>
  <c r="L87" i="18" s="1"/>
  <c r="P55" i="18"/>
  <c r="P84" i="18" s="1"/>
  <c r="P87" i="18" s="1"/>
  <c r="P89" i="18" s="1"/>
  <c r="AJ13" i="18"/>
  <c r="H118" i="18"/>
  <c r="AG114" i="18"/>
  <c r="G187" i="18"/>
  <c r="T140" i="18"/>
  <c r="L116" i="18"/>
  <c r="Q128" i="18"/>
  <c r="P130" i="18"/>
  <c r="K116" i="18"/>
  <c r="Q120" i="18"/>
  <c r="AF114" i="18"/>
  <c r="X125" i="18"/>
  <c r="S120" i="18"/>
  <c r="G180" i="18"/>
  <c r="G190" i="18"/>
  <c r="I117" i="18"/>
  <c r="R120" i="18"/>
  <c r="E180" i="18"/>
  <c r="Q123" i="18"/>
  <c r="M114" i="18"/>
  <c r="P140" i="18"/>
  <c r="R138" i="18"/>
  <c r="Q138" i="18"/>
  <c r="Q126" i="18"/>
  <c r="D124" i="18"/>
  <c r="D180" i="18"/>
  <c r="I119" i="18"/>
  <c r="P138" i="18"/>
  <c r="F124" i="18"/>
  <c r="P128" i="18"/>
  <c r="G124" i="18"/>
  <c r="AD147" i="18"/>
  <c r="T120" i="18"/>
  <c r="X129" i="18"/>
  <c r="AD145" i="18"/>
  <c r="D187" i="18"/>
  <c r="P126" i="18"/>
  <c r="P120" i="18"/>
  <c r="E124" i="18"/>
  <c r="AJ114" i="18"/>
  <c r="Q130" i="18"/>
  <c r="Y127" i="18"/>
  <c r="Q140" i="18"/>
  <c r="F183" i="18"/>
  <c r="P123" i="18"/>
  <c r="E187" i="18"/>
  <c r="G117" i="18"/>
  <c r="S140" i="18"/>
  <c r="D190" i="18"/>
  <c r="F187" i="18"/>
  <c r="AE115" i="18"/>
  <c r="G183" i="18"/>
  <c r="M116" i="18"/>
  <c r="F190" i="18"/>
  <c r="X123" i="18"/>
  <c r="T138" i="18"/>
  <c r="AE117" i="18"/>
  <c r="D183" i="18"/>
  <c r="AI114" i="18"/>
  <c r="K114" i="18"/>
  <c r="Y123" i="18"/>
  <c r="E183" i="18"/>
  <c r="L114" i="18"/>
  <c r="AH114" i="18"/>
  <c r="H184" i="18"/>
  <c r="R140" i="18"/>
  <c r="S138" i="18"/>
  <c r="H177" i="18"/>
  <c r="Y125" i="18"/>
  <c r="X127" i="18"/>
  <c r="Y129" i="18"/>
  <c r="F180" i="18"/>
  <c r="E190" i="18"/>
  <c r="M84" i="18" l="1"/>
  <c r="M87" i="18" s="1"/>
  <c r="M89" i="18" s="1"/>
  <c r="AB84" i="18"/>
  <c r="AB87" i="18" s="1"/>
  <c r="X84" i="18"/>
  <c r="X87" i="18" s="1"/>
  <c r="X89" i="18" s="1"/>
  <c r="AI83" i="18"/>
  <c r="V55" i="18"/>
  <c r="V84" i="18" s="1"/>
  <c r="V87" i="18" s="1"/>
  <c r="V89" i="18" s="1"/>
  <c r="AI55" i="18"/>
  <c r="V90" i="18"/>
  <c r="AJ31" i="18"/>
  <c r="C84" i="18"/>
  <c r="E84" i="18"/>
  <c r="E87" i="18" s="1"/>
  <c r="E89" i="18" s="1"/>
  <c r="G84" i="18"/>
  <c r="G87" i="18" s="1"/>
  <c r="G89" i="18" s="1"/>
  <c r="I55" i="18"/>
  <c r="I84" i="18" s="1"/>
  <c r="I87" i="18" s="1"/>
  <c r="I89" i="18" s="1"/>
  <c r="K84" i="18"/>
  <c r="O55" i="18"/>
  <c r="O84" i="18" s="1"/>
  <c r="O87" i="18" s="1"/>
  <c r="O89" i="18" s="1"/>
  <c r="W84" i="18"/>
  <c r="W87" i="18" s="1"/>
  <c r="W89" i="18" s="1"/>
  <c r="Y84" i="18"/>
  <c r="AA84" i="18"/>
  <c r="AC84" i="18"/>
  <c r="AE84" i="18"/>
  <c r="AG84" i="18"/>
  <c r="AI84" i="18" l="1"/>
  <c r="X101" i="16" l="1"/>
  <c r="V50" i="16" l="1"/>
  <c r="V86" i="16" s="1"/>
  <c r="V53" i="16" l="1"/>
  <c r="T53" i="16"/>
  <c r="R116" i="16"/>
  <c r="S116" i="16"/>
  <c r="Q116" i="16"/>
  <c r="Q126" i="16"/>
  <c r="T116" i="16"/>
  <c r="P122" i="16"/>
  <c r="Q119" i="16"/>
  <c r="P124" i="16"/>
  <c r="P119" i="16"/>
  <c r="P126" i="16"/>
  <c r="Q124" i="16"/>
  <c r="Q122" i="16"/>
  <c r="P116" i="16"/>
  <c r="S23" i="16" l="1"/>
  <c r="W150" i="16" l="1"/>
  <c r="V145" i="16"/>
  <c r="D53" i="16" l="1"/>
  <c r="E53" i="16"/>
  <c r="F53" i="16"/>
  <c r="G53" i="16"/>
  <c r="H53" i="16"/>
  <c r="J53" i="16"/>
  <c r="K53" i="16"/>
  <c r="M53" i="16"/>
  <c r="Q53" i="16"/>
  <c r="R53" i="16"/>
  <c r="S53" i="16"/>
  <c r="U53" i="16"/>
  <c r="W53" i="16"/>
  <c r="X53" i="16"/>
  <c r="Y53" i="16"/>
  <c r="Z53" i="16"/>
  <c r="AA53" i="16"/>
  <c r="AB53" i="16"/>
  <c r="AC53" i="16"/>
  <c r="AD53" i="16"/>
  <c r="AE53" i="16"/>
  <c r="AF53" i="16"/>
  <c r="AG53" i="16"/>
  <c r="C53" i="16"/>
  <c r="L110" i="16"/>
  <c r="T134" i="16"/>
  <c r="S136" i="16"/>
  <c r="R134" i="16"/>
  <c r="L112" i="16"/>
  <c r="P134" i="16"/>
  <c r="K112" i="16"/>
  <c r="Q134" i="16"/>
  <c r="M112" i="16"/>
  <c r="K110" i="16"/>
  <c r="R136" i="16"/>
  <c r="Q136" i="16"/>
  <c r="T136" i="16"/>
  <c r="P136" i="16"/>
  <c r="M110" i="16"/>
  <c r="S134" i="16"/>
  <c r="O35" i="16" l="1"/>
  <c r="O53" i="16" s="1"/>
  <c r="P42" i="16" l="1"/>
  <c r="P20" i="16"/>
  <c r="P53" i="16" l="1"/>
  <c r="C79" i="16"/>
  <c r="N79" i="16"/>
  <c r="D79" i="16"/>
  <c r="E79" i="16"/>
  <c r="F79" i="16"/>
  <c r="G79" i="16"/>
  <c r="H79" i="16"/>
  <c r="I79" i="16"/>
  <c r="J79" i="16"/>
  <c r="K79" i="16"/>
  <c r="L79" i="16"/>
  <c r="M79" i="16"/>
  <c r="O79" i="16"/>
  <c r="P79" i="16"/>
  <c r="Q79" i="16"/>
  <c r="R79" i="16"/>
  <c r="S79" i="16"/>
  <c r="T79" i="16"/>
  <c r="U79" i="16"/>
  <c r="V79" i="16"/>
  <c r="W79" i="16"/>
  <c r="X79" i="16"/>
  <c r="Y79" i="16"/>
  <c r="Z79" i="16"/>
  <c r="AA79" i="16"/>
  <c r="AB79" i="16"/>
  <c r="AC79" i="16"/>
  <c r="AD79" i="16"/>
  <c r="AE79" i="16"/>
  <c r="AF79" i="16"/>
  <c r="AG79" i="16"/>
  <c r="AH79" i="16"/>
  <c r="N26" i="16"/>
  <c r="N53" i="16" s="1"/>
  <c r="L23" i="16" l="1"/>
  <c r="L53" i="16" s="1"/>
  <c r="M104" i="16" l="1"/>
  <c r="I42" i="16"/>
  <c r="I23" i="16"/>
  <c r="I115" i="16"/>
  <c r="I113" i="16"/>
  <c r="I53" i="16" l="1"/>
  <c r="K104" i="16"/>
  <c r="I96" i="16" l="1"/>
  <c r="F27" i="17" l="1"/>
  <c r="G25" i="17"/>
  <c r="G24" i="17"/>
  <c r="G23" i="17"/>
  <c r="G22" i="17"/>
  <c r="G21" i="17"/>
  <c r="G20" i="17"/>
  <c r="G19" i="17"/>
  <c r="F15" i="17"/>
  <c r="G4" i="17"/>
  <c r="G5" i="17"/>
  <c r="G6" i="17"/>
  <c r="G7" i="17"/>
  <c r="G8" i="17"/>
  <c r="G9" i="17"/>
  <c r="G10" i="17"/>
  <c r="G11" i="17"/>
  <c r="G12" i="17"/>
  <c r="G13" i="17"/>
  <c r="G3" i="17"/>
  <c r="F120" i="16"/>
  <c r="G120" i="16"/>
  <c r="D120" i="16"/>
  <c r="E120" i="16"/>
  <c r="H114" i="16"/>
  <c r="G106" i="16" l="1"/>
  <c r="G113" i="16"/>
  <c r="AI54" i="15" l="1"/>
  <c r="E171" i="16" l="1"/>
  <c r="E170" i="16"/>
  <c r="E169" i="16"/>
  <c r="E168" i="16"/>
  <c r="E167" i="16"/>
  <c r="E166" i="16"/>
  <c r="E165" i="16"/>
  <c r="E164" i="16"/>
  <c r="E163" i="16"/>
  <c r="E162" i="16"/>
  <c r="E161" i="16"/>
  <c r="E160" i="16"/>
  <c r="E159" i="16"/>
  <c r="E158" i="16"/>
  <c r="E157" i="16"/>
  <c r="E156" i="16"/>
  <c r="E155" i="16"/>
  <c r="E154" i="16"/>
  <c r="E153" i="16"/>
  <c r="AE107" i="16"/>
  <c r="R87" i="16"/>
  <c r="AI78" i="16"/>
  <c r="AI76" i="16"/>
  <c r="AI75" i="16"/>
  <c r="AI74" i="16"/>
  <c r="AI72" i="16"/>
  <c r="AI71" i="16"/>
  <c r="AI70" i="16"/>
  <c r="AI69" i="16"/>
  <c r="AI68" i="16"/>
  <c r="AI67" i="16"/>
  <c r="AI64" i="16"/>
  <c r="AI63" i="16"/>
  <c r="AI62" i="16"/>
  <c r="AI61" i="16"/>
  <c r="AI60" i="16"/>
  <c r="AI59" i="16"/>
  <c r="AI58" i="16"/>
  <c r="AI56" i="16"/>
  <c r="AI55" i="16"/>
  <c r="M80" i="16"/>
  <c r="M83" i="16" s="1"/>
  <c r="M85" i="16" s="1"/>
  <c r="AI52" i="16"/>
  <c r="AI51" i="16"/>
  <c r="AI50" i="16"/>
  <c r="AI49" i="16"/>
  <c r="AI48" i="16"/>
  <c r="AI47" i="16"/>
  <c r="AI46" i="16"/>
  <c r="AI45" i="16"/>
  <c r="AI44" i="16"/>
  <c r="AI43" i="16"/>
  <c r="AI42" i="16"/>
  <c r="AI41" i="16"/>
  <c r="AH41" i="16"/>
  <c r="AI40" i="16"/>
  <c r="AI39" i="16"/>
  <c r="AH39" i="16"/>
  <c r="AI38" i="16"/>
  <c r="AI36" i="16"/>
  <c r="AI35" i="16"/>
  <c r="AI34" i="16"/>
  <c r="AI33" i="16"/>
  <c r="AI32" i="16"/>
  <c r="AL31" i="16"/>
  <c r="AI31" i="16"/>
  <c r="AI30" i="16"/>
  <c r="AI29" i="16"/>
  <c r="AI27" i="16"/>
  <c r="AI25" i="16"/>
  <c r="AI23" i="16"/>
  <c r="AI22" i="16"/>
  <c r="AI19" i="16"/>
  <c r="AI18" i="16"/>
  <c r="AI17" i="16"/>
  <c r="AI15" i="16"/>
  <c r="AI14" i="16"/>
  <c r="AI13" i="16"/>
  <c r="AI12" i="16"/>
  <c r="AI11" i="16"/>
  <c r="AI9" i="16"/>
  <c r="AI8" i="16"/>
  <c r="AH53" i="16" l="1"/>
  <c r="AI53" i="16"/>
  <c r="AI79" i="16"/>
  <c r="AD80" i="16"/>
  <c r="X80" i="16"/>
  <c r="D80" i="16"/>
  <c r="Y80" i="16"/>
  <c r="AA80" i="16"/>
  <c r="AC80" i="16"/>
  <c r="C80" i="16"/>
  <c r="Z80" i="16"/>
  <c r="AB80" i="16"/>
  <c r="AJ13" i="16"/>
  <c r="E80" i="16"/>
  <c r="E83" i="16" s="1"/>
  <c r="E85" i="16" s="1"/>
  <c r="AJ34" i="16"/>
  <c r="AJ41" i="16"/>
  <c r="G80" i="16"/>
  <c r="G83" i="16" s="1"/>
  <c r="G85" i="16" s="1"/>
  <c r="I80" i="16"/>
  <c r="I83" i="16" s="1"/>
  <c r="I85" i="16" s="1"/>
  <c r="K80" i="16"/>
  <c r="O80" i="16"/>
  <c r="O83" i="16" s="1"/>
  <c r="O85" i="16" s="1"/>
  <c r="Q80" i="16"/>
  <c r="S80" i="16"/>
  <c r="S83" i="16" s="1"/>
  <c r="S85" i="16" s="1"/>
  <c r="U80" i="16"/>
  <c r="W80" i="16"/>
  <c r="AE80" i="16"/>
  <c r="F80" i="16"/>
  <c r="F83" i="16" s="1"/>
  <c r="F85" i="16" s="1"/>
  <c r="H80" i="16"/>
  <c r="J80" i="16"/>
  <c r="L80" i="16"/>
  <c r="L83" i="16" s="1"/>
  <c r="N80" i="16"/>
  <c r="N83" i="16" s="1"/>
  <c r="N85" i="16" s="1"/>
  <c r="P80" i="16"/>
  <c r="P83" i="16" s="1"/>
  <c r="P85" i="16" s="1"/>
  <c r="R80" i="16"/>
  <c r="T80" i="16"/>
  <c r="T83" i="16" s="1"/>
  <c r="T85" i="16" s="1"/>
  <c r="V80" i="16"/>
  <c r="V83" i="16" s="1"/>
  <c r="V85" i="16" s="1"/>
  <c r="AF80" i="16"/>
  <c r="AJ30" i="16"/>
  <c r="AG80" i="16"/>
  <c r="AG95" i="15"/>
  <c r="AG74" i="15"/>
  <c r="E186" i="16"/>
  <c r="AE113" i="16"/>
  <c r="D183" i="16"/>
  <c r="AD132" i="16"/>
  <c r="X121" i="16"/>
  <c r="H173" i="16"/>
  <c r="X119" i="16"/>
  <c r="AH110" i="16"/>
  <c r="AE124" i="16"/>
  <c r="AA125" i="16"/>
  <c r="H180" i="16"/>
  <c r="D186" i="16"/>
  <c r="Y125" i="16"/>
  <c r="AD122" i="16"/>
  <c r="X123" i="16"/>
  <c r="AF127" i="15"/>
  <c r="AG127" i="15"/>
  <c r="Y119" i="16"/>
  <c r="F176" i="16"/>
  <c r="F179" i="16"/>
  <c r="AH127" i="15"/>
  <c r="D176" i="16"/>
  <c r="AE122" i="16"/>
  <c r="AF110" i="16"/>
  <c r="AD134" i="16"/>
  <c r="AG110" i="16"/>
  <c r="AD124" i="16"/>
  <c r="E183" i="16"/>
  <c r="F183" i="16"/>
  <c r="AI110" i="16"/>
  <c r="G186" i="16"/>
  <c r="Z125" i="16"/>
  <c r="AJ127" i="15"/>
  <c r="AD143" i="16"/>
  <c r="Z119" i="16"/>
  <c r="D179" i="16"/>
  <c r="AD126" i="16"/>
  <c r="AD119" i="16"/>
  <c r="AD130" i="16"/>
  <c r="E179" i="16"/>
  <c r="AI127" i="15"/>
  <c r="F186" i="16"/>
  <c r="AE130" i="16"/>
  <c r="Z121" i="16"/>
  <c r="G176" i="16"/>
  <c r="AE126" i="16"/>
  <c r="AJ110" i="16"/>
  <c r="AD141" i="16"/>
  <c r="G179" i="16"/>
  <c r="E176" i="16"/>
  <c r="AD128" i="16"/>
  <c r="Y121" i="16"/>
  <c r="Y123" i="16"/>
  <c r="AE111" i="16"/>
  <c r="AF126" i="16"/>
  <c r="X125" i="16"/>
  <c r="AE119" i="16"/>
  <c r="G183" i="16"/>
  <c r="AI80" i="16" l="1"/>
  <c r="AE124" i="15"/>
  <c r="AE128" i="15"/>
  <c r="AE130" i="15"/>
  <c r="AD99" i="15" l="1"/>
  <c r="AI12" i="15" l="1"/>
  <c r="AI13" i="15"/>
  <c r="AI14" i="15"/>
  <c r="AI15" i="15"/>
  <c r="AI16" i="15"/>
  <c r="AI17" i="15"/>
  <c r="AI18" i="15"/>
  <c r="AI19" i="15"/>
  <c r="AI20" i="15"/>
  <c r="AI29" i="15"/>
  <c r="AI30" i="15"/>
  <c r="AI31" i="15"/>
  <c r="AI32" i="15"/>
  <c r="AH61" i="15"/>
  <c r="AH59" i="15"/>
  <c r="AD38" i="15"/>
  <c r="AD74" i="15" s="1"/>
  <c r="AJ22" i="15" l="1"/>
  <c r="AJ13" i="15"/>
  <c r="AC74" i="15"/>
  <c r="Z99" i="15" l="1"/>
  <c r="Z74" i="15"/>
  <c r="Z136" i="15"/>
  <c r="Y131" i="15"/>
  <c r="Z133" i="15"/>
  <c r="Y142" i="15"/>
  <c r="Z138" i="15"/>
  <c r="Y138" i="15"/>
  <c r="W133" i="15"/>
  <c r="X140" i="15"/>
  <c r="Y136" i="15"/>
  <c r="X133" i="15"/>
  <c r="W138" i="15"/>
  <c r="X138" i="15"/>
  <c r="W142" i="15"/>
  <c r="W136" i="15"/>
  <c r="X136" i="15"/>
  <c r="W140" i="15"/>
  <c r="X142" i="15"/>
  <c r="Y133" i="15"/>
  <c r="AA142" i="15"/>
  <c r="W131" i="15"/>
  <c r="Z142" i="15"/>
  <c r="X131" i="15"/>
  <c r="Z131" i="15"/>
  <c r="Y140" i="15"/>
  <c r="X40" i="15" l="1"/>
  <c r="W128" i="15"/>
  <c r="Y122" i="15"/>
  <c r="X122" i="15"/>
  <c r="Y126" i="15"/>
  <c r="Y124" i="15"/>
  <c r="X126" i="15"/>
  <c r="X124" i="15"/>
  <c r="W126" i="15"/>
  <c r="W124" i="15"/>
  <c r="W122" i="15"/>
  <c r="W74" i="15" l="1"/>
  <c r="V74" i="15" l="1"/>
  <c r="R74" i="15" l="1"/>
  <c r="R99" i="15"/>
  <c r="T44" i="14" l="1"/>
  <c r="T120" i="15" l="1"/>
  <c r="R130" i="15"/>
  <c r="P132" i="15"/>
  <c r="U128" i="15"/>
  <c r="S130" i="15"/>
  <c r="Q132" i="15"/>
  <c r="Q128" i="15"/>
  <c r="Q130" i="15"/>
  <c r="U130" i="15"/>
  <c r="P130" i="15"/>
  <c r="R132" i="15"/>
  <c r="P128" i="15"/>
  <c r="S132" i="15"/>
  <c r="S128" i="15"/>
  <c r="R128" i="15"/>
  <c r="T130" i="15"/>
  <c r="T128" i="15"/>
  <c r="O74" i="15" l="1"/>
  <c r="O99" i="15"/>
  <c r="L74" i="15" l="1"/>
  <c r="L99" i="15"/>
  <c r="I138" i="15"/>
  <c r="J133" i="15"/>
  <c r="K131" i="15"/>
  <c r="J135" i="15"/>
  <c r="L133" i="15"/>
  <c r="L138" i="15"/>
  <c r="I133" i="15"/>
  <c r="J131" i="15"/>
  <c r="K135" i="15"/>
  <c r="K133" i="15"/>
  <c r="I135" i="15"/>
  <c r="L131" i="15"/>
  <c r="I131" i="15"/>
  <c r="K138" i="15"/>
  <c r="M131" i="15"/>
  <c r="J138" i="15"/>
  <c r="K74" i="15" l="1"/>
  <c r="I126" i="15"/>
  <c r="J126" i="15"/>
  <c r="I128" i="15"/>
  <c r="K126" i="15"/>
  <c r="L126" i="15"/>
  <c r="E188" i="15" l="1"/>
  <c r="E187" i="15"/>
  <c r="E186" i="15"/>
  <c r="E185" i="15"/>
  <c r="E184" i="15"/>
  <c r="E183" i="15"/>
  <c r="E182" i="15"/>
  <c r="E181" i="15"/>
  <c r="E180" i="15"/>
  <c r="E179" i="15"/>
  <c r="E178" i="15"/>
  <c r="E177" i="15"/>
  <c r="E176" i="15"/>
  <c r="E175" i="15"/>
  <c r="E174" i="15"/>
  <c r="E173" i="15"/>
  <c r="E172" i="15"/>
  <c r="E171" i="15"/>
  <c r="E170" i="15"/>
  <c r="AI80" i="15" l="1"/>
  <c r="D167" i="15"/>
  <c r="H167" i="15"/>
  <c r="F167" i="15"/>
  <c r="G167" i="15"/>
  <c r="E167" i="15"/>
  <c r="H74" i="15" l="1"/>
  <c r="G157" i="15"/>
  <c r="F159" i="15"/>
  <c r="D161" i="15"/>
  <c r="F161" i="15"/>
  <c r="E157" i="15"/>
  <c r="E154" i="15"/>
  <c r="G159" i="15"/>
  <c r="D159" i="15"/>
  <c r="G161" i="15"/>
  <c r="E161" i="15"/>
  <c r="F157" i="15"/>
  <c r="D163" i="15"/>
  <c r="F154" i="15"/>
  <c r="D157" i="15"/>
  <c r="D154" i="15"/>
  <c r="G154" i="15"/>
  <c r="E159" i="15"/>
  <c r="E99" i="15" l="1"/>
  <c r="E41" i="15"/>
  <c r="E74" i="15" s="1"/>
  <c r="G149" i="15"/>
  <c r="D143" i="15"/>
  <c r="D151" i="15"/>
  <c r="D149" i="15"/>
  <c r="F149" i="15"/>
  <c r="F151" i="15"/>
  <c r="E151" i="15"/>
  <c r="G151" i="15"/>
  <c r="E149" i="15"/>
  <c r="AH105" i="13" l="1"/>
  <c r="AH107" i="13"/>
  <c r="AH108" i="13"/>
  <c r="AH109" i="13"/>
  <c r="AH110" i="13"/>
  <c r="AH111" i="13"/>
  <c r="AH112" i="13"/>
  <c r="AH113" i="13"/>
  <c r="AH114" i="13"/>
  <c r="AH115" i="13"/>
  <c r="AH116" i="13"/>
  <c r="AH117" i="13"/>
  <c r="AH118" i="13"/>
  <c r="AH119" i="13"/>
  <c r="AH120" i="13"/>
  <c r="AH121" i="13"/>
  <c r="AH122" i="13"/>
  <c r="AH104" i="13"/>
  <c r="AH103" i="14"/>
  <c r="AH104" i="14"/>
  <c r="AH105" i="14"/>
  <c r="AH106" i="14"/>
  <c r="AH107" i="14"/>
  <c r="AH108" i="14"/>
  <c r="AH109" i="14"/>
  <c r="AH110" i="14"/>
  <c r="AH111" i="14"/>
  <c r="AH112" i="14"/>
  <c r="AH113" i="14"/>
  <c r="AH114" i="14"/>
  <c r="AH115" i="14"/>
  <c r="AH116" i="14"/>
  <c r="AH117" i="14"/>
  <c r="AH118" i="14"/>
  <c r="AH119" i="14"/>
  <c r="AH120" i="14"/>
  <c r="AH121" i="14"/>
  <c r="AH122" i="14"/>
  <c r="AH102" i="14"/>
  <c r="AN78" i="14"/>
  <c r="AN76" i="14"/>
  <c r="AH123" i="14" l="1"/>
  <c r="E145" i="15"/>
  <c r="F143" i="15"/>
  <c r="G143" i="15"/>
  <c r="D145" i="15"/>
  <c r="G145" i="15"/>
  <c r="E143" i="15"/>
  <c r="F145" i="15"/>
  <c r="D74" i="15" l="1"/>
  <c r="F74" i="15"/>
  <c r="G74" i="15"/>
  <c r="I74" i="15"/>
  <c r="J74" i="15"/>
  <c r="M74" i="15"/>
  <c r="N74" i="15"/>
  <c r="P74" i="15"/>
  <c r="Q74" i="15"/>
  <c r="S74" i="15"/>
  <c r="T74" i="15"/>
  <c r="U74" i="15"/>
  <c r="X74" i="15"/>
  <c r="Y74" i="15"/>
  <c r="AA74" i="15"/>
  <c r="AB74" i="15"/>
  <c r="AE74" i="15"/>
  <c r="AF74" i="15"/>
  <c r="C74" i="15"/>
  <c r="C99" i="15"/>
  <c r="F130" i="15" l="1"/>
  <c r="J121" i="15"/>
  <c r="AG99" i="15"/>
  <c r="AG100" i="15" s="1"/>
  <c r="AF99" i="15"/>
  <c r="AF100" i="15" s="1"/>
  <c r="AE99" i="15"/>
  <c r="AE100" i="15" s="1"/>
  <c r="AD100" i="15"/>
  <c r="AC99" i="15"/>
  <c r="AB99" i="15"/>
  <c r="AB100" i="15" s="1"/>
  <c r="AA99" i="15"/>
  <c r="AA100" i="15" s="1"/>
  <c r="Z100" i="15"/>
  <c r="Z103" i="15" s="1"/>
  <c r="Y99" i="15"/>
  <c r="Y100" i="15" s="1"/>
  <c r="Y103" i="15" s="1"/>
  <c r="Y105" i="15" s="1"/>
  <c r="X99" i="15"/>
  <c r="X100" i="15" s="1"/>
  <c r="X103" i="15" s="1"/>
  <c r="X105" i="15" s="1"/>
  <c r="W99" i="15"/>
  <c r="W100" i="15" s="1"/>
  <c r="W103" i="15" s="1"/>
  <c r="W105" i="15" s="1"/>
  <c r="V99" i="15"/>
  <c r="V100" i="15" s="1"/>
  <c r="U99" i="15"/>
  <c r="U100" i="15" s="1"/>
  <c r="T99" i="15"/>
  <c r="T100" i="15" s="1"/>
  <c r="S99" i="15"/>
  <c r="Q99" i="15"/>
  <c r="Q100" i="15" s="1"/>
  <c r="P99" i="15"/>
  <c r="P100" i="15" s="1"/>
  <c r="N99" i="15"/>
  <c r="N100" i="15" s="1"/>
  <c r="M99" i="15"/>
  <c r="M100" i="15" s="1"/>
  <c r="L100" i="15"/>
  <c r="K99" i="15"/>
  <c r="K100" i="15" s="1"/>
  <c r="J99" i="15"/>
  <c r="J100" i="15" s="1"/>
  <c r="J103" i="15" s="1"/>
  <c r="I99" i="15"/>
  <c r="I100" i="15" s="1"/>
  <c r="I103" i="15" s="1"/>
  <c r="I105" i="15" s="1"/>
  <c r="H99" i="15"/>
  <c r="H100" i="15" s="1"/>
  <c r="H103" i="15" s="1"/>
  <c r="G99" i="15"/>
  <c r="G100" i="15" s="1"/>
  <c r="F99" i="15"/>
  <c r="F100" i="15" s="1"/>
  <c r="E100" i="15"/>
  <c r="E103" i="15" s="1"/>
  <c r="E105" i="15" s="1"/>
  <c r="D99" i="15"/>
  <c r="AI98" i="15"/>
  <c r="AI96" i="15"/>
  <c r="AI95" i="15"/>
  <c r="AI94" i="15"/>
  <c r="AI92" i="15"/>
  <c r="AI91" i="15"/>
  <c r="AI90" i="15"/>
  <c r="AI89" i="15"/>
  <c r="AI88" i="15"/>
  <c r="AI87" i="15"/>
  <c r="AI84" i="15"/>
  <c r="AI83" i="15"/>
  <c r="AI82" i="15"/>
  <c r="AI81" i="15"/>
  <c r="AI79" i="15"/>
  <c r="AI78" i="15"/>
  <c r="AI77" i="15"/>
  <c r="AI76" i="15"/>
  <c r="AC100" i="15"/>
  <c r="AC103" i="15" s="1"/>
  <c r="AC105" i="15" s="1"/>
  <c r="O100" i="15"/>
  <c r="O103" i="15" s="1"/>
  <c r="O105" i="15" s="1"/>
  <c r="AI73" i="15"/>
  <c r="AI72" i="15"/>
  <c r="AI71" i="15"/>
  <c r="AI70" i="15"/>
  <c r="AI68" i="15"/>
  <c r="AI67" i="15"/>
  <c r="AI66" i="15"/>
  <c r="AI64" i="15"/>
  <c r="AI63" i="15"/>
  <c r="AI62" i="15"/>
  <c r="AI61" i="15"/>
  <c r="AI60" i="15"/>
  <c r="AI58" i="15"/>
  <c r="AI56" i="15"/>
  <c r="AI55" i="15"/>
  <c r="AI52" i="15"/>
  <c r="AI51" i="15"/>
  <c r="AI50" i="15"/>
  <c r="AI49" i="15"/>
  <c r="AL48" i="15"/>
  <c r="AI48" i="15"/>
  <c r="AI47" i="15"/>
  <c r="AI46" i="15"/>
  <c r="AJ45" i="15"/>
  <c r="AI42" i="15"/>
  <c r="AI38" i="15"/>
  <c r="AI37" i="15"/>
  <c r="R107" i="15"/>
  <c r="AI11" i="15"/>
  <c r="AI9" i="15"/>
  <c r="AI8" i="15"/>
  <c r="AI7" i="15"/>
  <c r="AD160" i="15"/>
  <c r="AD147" i="15"/>
  <c r="D139" i="15"/>
  <c r="AD149" i="15"/>
  <c r="D137" i="15"/>
  <c r="AD151" i="15"/>
  <c r="H139" i="15"/>
  <c r="G139" i="15"/>
  <c r="AE143" i="15"/>
  <c r="AE139" i="15"/>
  <c r="AD158" i="15"/>
  <c r="F137" i="15"/>
  <c r="AD139" i="15"/>
  <c r="AD141" i="15"/>
  <c r="AD145" i="15"/>
  <c r="E139" i="15"/>
  <c r="AF143" i="15"/>
  <c r="E137" i="15"/>
  <c r="AE141" i="15"/>
  <c r="F139" i="15"/>
  <c r="AD143" i="15"/>
  <c r="AE147" i="15"/>
  <c r="AD136" i="15"/>
  <c r="AE136" i="15"/>
  <c r="G137" i="15"/>
  <c r="AD103" i="15" l="1"/>
  <c r="AD105" i="15" s="1"/>
  <c r="AE103" i="15" s="1"/>
  <c r="AE105" i="15" s="1"/>
  <c r="AF103" i="15" s="1"/>
  <c r="AF105" i="15" s="1"/>
  <c r="AG103" i="15" s="1"/>
  <c r="AG105" i="15" s="1"/>
  <c r="P103" i="15"/>
  <c r="P105" i="15" s="1"/>
  <c r="Q102" i="15" s="1"/>
  <c r="Q103" i="15" s="1"/>
  <c r="Q105" i="15" s="1"/>
  <c r="D100" i="15"/>
  <c r="D103" i="15" s="1"/>
  <c r="D105" i="15" s="1"/>
  <c r="AJ51" i="15"/>
  <c r="C100" i="15"/>
  <c r="C103" i="15" s="1"/>
  <c r="C105" i="15" s="1"/>
  <c r="AI99" i="15"/>
  <c r="AJ47" i="15"/>
  <c r="AJ56" i="15"/>
  <c r="AI40" i="15"/>
  <c r="AI59" i="15"/>
  <c r="AJ61" i="15" s="1"/>
  <c r="AI69" i="15"/>
  <c r="S100" i="15"/>
  <c r="R100" i="15"/>
  <c r="AF99" i="14"/>
  <c r="AF123" i="14"/>
  <c r="R103" i="15" l="1"/>
  <c r="R105" i="15" s="1"/>
  <c r="S102" i="15" s="1"/>
  <c r="S103" i="15" s="1"/>
  <c r="S105" i="15" s="1"/>
  <c r="T102" i="15" s="1"/>
  <c r="T103" i="15" s="1"/>
  <c r="T105" i="15" s="1"/>
  <c r="U102" i="15" s="1"/>
  <c r="U103" i="15" s="1"/>
  <c r="U105" i="15" s="1"/>
  <c r="V103" i="15" s="1"/>
  <c r="V105" i="15" s="1"/>
  <c r="AI74" i="15"/>
  <c r="AI100" i="15"/>
  <c r="AI103" i="15" s="1"/>
  <c r="AI105" i="15" s="1"/>
  <c r="AD168" i="14"/>
  <c r="AC170" i="14"/>
  <c r="AC166" i="14"/>
  <c r="AE159" i="14"/>
  <c r="AB162" i="14"/>
  <c r="AG159" i="14"/>
  <c r="AD170" i="14"/>
  <c r="AB164" i="14"/>
  <c r="AF166" i="14"/>
  <c r="AC159" i="14"/>
  <c r="AD162" i="14"/>
  <c r="AB170" i="14"/>
  <c r="AD159" i="14"/>
  <c r="AC168" i="14"/>
  <c r="AC162" i="14"/>
  <c r="AD166" i="14"/>
  <c r="AF159" i="14"/>
  <c r="AF162" i="14"/>
  <c r="AE170" i="14"/>
  <c r="AB159" i="14"/>
  <c r="AE162" i="14"/>
  <c r="AE166" i="14"/>
  <c r="AD164" i="14"/>
  <c r="AB168" i="14"/>
  <c r="AC164" i="14"/>
  <c r="AB166" i="14"/>
  <c r="AE164" i="14"/>
  <c r="AE99" i="14" l="1"/>
  <c r="AC181" i="14"/>
  <c r="AB181" i="14"/>
  <c r="AD183" i="14"/>
  <c r="AD181" i="14"/>
  <c r="AC183" i="14"/>
  <c r="X188" i="14"/>
  <c r="AB183" i="14"/>
  <c r="Y188" i="14"/>
  <c r="Z188" i="14"/>
  <c r="AA181" i="14"/>
  <c r="AA188" i="14"/>
  <c r="AA183" i="14"/>
  <c r="AB99" i="14" l="1"/>
  <c r="AB123" i="14"/>
  <c r="AA123" i="14" l="1"/>
  <c r="AB174" i="14"/>
  <c r="AC174" i="14"/>
  <c r="AA176" i="14"/>
  <c r="AD174" i="14"/>
  <c r="Z172" i="14"/>
  <c r="AC172" i="14"/>
  <c r="AA172" i="14"/>
  <c r="Z174" i="14"/>
  <c r="AA174" i="14"/>
  <c r="AD172" i="14"/>
  <c r="AB172" i="14"/>
  <c r="Z176" i="14"/>
  <c r="AA46" i="14" l="1"/>
  <c r="AA99" i="14" s="1"/>
  <c r="X73" i="14"/>
  <c r="Z164" i="14"/>
  <c r="AA166" i="14"/>
  <c r="X164" i="14"/>
  <c r="X166" i="14"/>
  <c r="Z166" i="14"/>
  <c r="Y166" i="14"/>
  <c r="AA164" i="14"/>
  <c r="X168" i="14"/>
  <c r="Y164" i="14"/>
  <c r="Z94" i="14" l="1"/>
  <c r="X99" i="14" l="1"/>
  <c r="X154" i="14"/>
  <c r="Z157" i="14"/>
  <c r="AA154" i="14"/>
  <c r="X157" i="14"/>
  <c r="Z159" i="14"/>
  <c r="Y154" i="14"/>
  <c r="X161" i="14"/>
  <c r="Y159" i="14"/>
  <c r="Z161" i="14"/>
  <c r="AA161" i="14"/>
  <c r="AA157" i="14"/>
  <c r="Z154" i="14"/>
  <c r="Y161" i="14"/>
  <c r="AA159" i="14"/>
  <c r="Y157" i="14"/>
  <c r="X159" i="14"/>
  <c r="U99" i="14" l="1"/>
  <c r="T130" i="14" l="1"/>
  <c r="S96" i="14" l="1"/>
  <c r="S130" i="14" s="1"/>
  <c r="R123" i="14" l="1"/>
  <c r="R34" i="14" l="1"/>
  <c r="R131" i="14" l="1"/>
  <c r="R133" i="14" s="1"/>
  <c r="R99" i="14"/>
  <c r="AH7" i="14"/>
  <c r="S99" i="14"/>
  <c r="T99" i="14"/>
  <c r="V99" i="14"/>
  <c r="W99" i="14"/>
  <c r="Y99" i="14"/>
  <c r="Z99" i="14"/>
  <c r="AC99" i="14"/>
  <c r="AD99" i="14"/>
  <c r="AG99" i="14"/>
  <c r="Q99" i="14"/>
  <c r="AH89" i="14"/>
  <c r="N46" i="14" l="1"/>
  <c r="L99" i="14" l="1"/>
  <c r="L123" i="14"/>
  <c r="K14" i="14" l="1"/>
  <c r="C45" i="14" l="1"/>
  <c r="AI75" i="14" l="1"/>
  <c r="AI51" i="14"/>
  <c r="AI39" i="14"/>
  <c r="F153" i="14" l="1"/>
  <c r="G160" i="14"/>
  <c r="F160" i="14"/>
  <c r="E162" i="14"/>
  <c r="D162" i="14"/>
  <c r="D160" i="14"/>
  <c r="E160" i="14"/>
  <c r="F162" i="14"/>
  <c r="G162" i="14"/>
  <c r="H162" i="14"/>
  <c r="E31" i="14" l="1"/>
  <c r="D123" i="14" l="1"/>
  <c r="D99" i="14"/>
  <c r="D124" i="14" l="1"/>
  <c r="AF81" i="13" l="1"/>
  <c r="AF79" i="13"/>
  <c r="AF48" i="13"/>
  <c r="AH81" i="14"/>
  <c r="AI146" i="14"/>
  <c r="J144" i="14"/>
  <c r="Y142" i="14"/>
  <c r="Y144" i="14" s="1"/>
  <c r="AE140" i="14"/>
  <c r="AG132" i="14"/>
  <c r="AG135" i="14" s="1"/>
  <c r="AG123" i="14"/>
  <c r="AG124" i="14" s="1"/>
  <c r="AE123" i="14"/>
  <c r="AD123" i="14"/>
  <c r="AD124" i="14" s="1"/>
  <c r="AC123" i="14"/>
  <c r="Z123" i="14"/>
  <c r="Z124" i="14" s="1"/>
  <c r="Z127" i="14" s="1"/>
  <c r="Y123" i="14"/>
  <c r="X123" i="14"/>
  <c r="X124" i="14" s="1"/>
  <c r="X127" i="14" s="1"/>
  <c r="X129" i="14" s="1"/>
  <c r="W123" i="14"/>
  <c r="V123" i="14"/>
  <c r="V124" i="14" s="1"/>
  <c r="U123" i="14"/>
  <c r="T123" i="14"/>
  <c r="T124" i="14" s="1"/>
  <c r="T127" i="14" s="1"/>
  <c r="T129" i="14" s="1"/>
  <c r="S123" i="14"/>
  <c r="Q123" i="14"/>
  <c r="P123" i="14"/>
  <c r="O123" i="14"/>
  <c r="N123" i="14"/>
  <c r="M123" i="14"/>
  <c r="K123" i="14"/>
  <c r="J123" i="14"/>
  <c r="I123" i="14"/>
  <c r="H123" i="14"/>
  <c r="F123" i="14"/>
  <c r="E123" i="14"/>
  <c r="C123" i="14"/>
  <c r="G123" i="14"/>
  <c r="AH101" i="14"/>
  <c r="AF124" i="14"/>
  <c r="P99" i="14"/>
  <c r="O99" i="14"/>
  <c r="L124" i="14"/>
  <c r="L127" i="14" s="1"/>
  <c r="L129" i="14" s="1"/>
  <c r="K99" i="14"/>
  <c r="J99" i="14"/>
  <c r="E99" i="14"/>
  <c r="D127" i="14"/>
  <c r="D129" i="14" s="1"/>
  <c r="AH98" i="14"/>
  <c r="AH97" i="14"/>
  <c r="AH96" i="14"/>
  <c r="AB124" i="14"/>
  <c r="AB127" i="14" s="1"/>
  <c r="AB129" i="14" s="1"/>
  <c r="M99" i="14"/>
  <c r="I99" i="14"/>
  <c r="H99" i="14"/>
  <c r="AH94" i="14"/>
  <c r="AH93" i="14"/>
  <c r="AH92" i="14"/>
  <c r="AH91" i="14"/>
  <c r="AH90" i="14"/>
  <c r="AH88" i="14"/>
  <c r="AH87" i="14"/>
  <c r="AH86" i="14"/>
  <c r="AH85" i="14"/>
  <c r="AH84" i="14"/>
  <c r="AH83" i="14"/>
  <c r="AH80" i="14"/>
  <c r="AH79" i="14"/>
  <c r="AH78" i="14"/>
  <c r="AH77" i="14"/>
  <c r="AH76" i="14"/>
  <c r="AH68" i="14"/>
  <c r="AH67" i="14"/>
  <c r="AH66" i="14"/>
  <c r="AH65" i="14"/>
  <c r="AH64" i="14"/>
  <c r="AH62" i="14"/>
  <c r="AH60" i="14"/>
  <c r="AH59" i="14"/>
  <c r="AH58" i="14"/>
  <c r="AH57" i="14"/>
  <c r="AH55" i="14"/>
  <c r="AK54" i="14"/>
  <c r="AH54" i="14"/>
  <c r="AH53" i="14"/>
  <c r="AH52" i="14"/>
  <c r="AH48" i="14"/>
  <c r="G99" i="14"/>
  <c r="AH46" i="14"/>
  <c r="F99" i="14"/>
  <c r="AH44" i="14"/>
  <c r="AH31" i="14"/>
  <c r="C99" i="14"/>
  <c r="AH30" i="14"/>
  <c r="AH29" i="14"/>
  <c r="AH28" i="14"/>
  <c r="AH23" i="14"/>
  <c r="AH22" i="14"/>
  <c r="AH21" i="14"/>
  <c r="AH20" i="14"/>
  <c r="AH19" i="14"/>
  <c r="AH18" i="14"/>
  <c r="AH17" i="14"/>
  <c r="AH16" i="14"/>
  <c r="AH15" i="14"/>
  <c r="AH14" i="14"/>
  <c r="AH13" i="14"/>
  <c r="AH12" i="14"/>
  <c r="AH11" i="14"/>
  <c r="AH9" i="14"/>
  <c r="N99" i="14"/>
  <c r="AH8" i="14"/>
  <c r="N124" i="14" l="1"/>
  <c r="N127" i="14" s="1"/>
  <c r="N129" i="14" s="1"/>
  <c r="H124" i="14"/>
  <c r="M124" i="14"/>
  <c r="M127" i="14" s="1"/>
  <c r="M129" i="14" s="1"/>
  <c r="J124" i="14"/>
  <c r="J127" i="14" s="1"/>
  <c r="J129" i="14" s="1"/>
  <c r="AF127" i="14"/>
  <c r="AF129" i="14" s="1"/>
  <c r="P124" i="14"/>
  <c r="R124" i="14"/>
  <c r="R127" i="14" s="1"/>
  <c r="R129" i="14" s="1"/>
  <c r="AI53" i="14"/>
  <c r="AI13" i="14"/>
  <c r="AI25" i="14"/>
  <c r="AI92" i="14"/>
  <c r="AI68" i="14"/>
  <c r="AI79" i="14"/>
  <c r="G124" i="14"/>
  <c r="G127" i="14" s="1"/>
  <c r="G129" i="14" s="1"/>
  <c r="F124" i="14"/>
  <c r="F127" i="14" s="1"/>
  <c r="F129" i="14" s="1"/>
  <c r="AE124" i="14"/>
  <c r="AE127" i="14" s="1"/>
  <c r="AE129" i="14" s="1"/>
  <c r="I124" i="14"/>
  <c r="AA124" i="14"/>
  <c r="AA127" i="14" s="1"/>
  <c r="AA129" i="14" s="1"/>
  <c r="K124" i="14"/>
  <c r="K127" i="14" s="1"/>
  <c r="K129" i="14" s="1"/>
  <c r="O124" i="14"/>
  <c r="Q124" i="14"/>
  <c r="Q127" i="14" s="1"/>
  <c r="Q129" i="14" s="1"/>
  <c r="S124" i="14"/>
  <c r="S127" i="14" s="1"/>
  <c r="S129" i="14" s="1"/>
  <c r="U124" i="14"/>
  <c r="U127" i="14" s="1"/>
  <c r="W124" i="14"/>
  <c r="Y124" i="14"/>
  <c r="Y127" i="14" s="1"/>
  <c r="AC124" i="14"/>
  <c r="C124" i="14"/>
  <c r="C127" i="14" s="1"/>
  <c r="C129" i="14" s="1"/>
  <c r="E124" i="14"/>
  <c r="E127" i="14" s="1"/>
  <c r="E129" i="14" s="1"/>
  <c r="AH45" i="14"/>
  <c r="AH56" i="14"/>
  <c r="AI57" i="14" s="1"/>
  <c r="AH95" i="14"/>
  <c r="AE85" i="13"/>
  <c r="AH99" i="14" l="1"/>
  <c r="AH124" i="14"/>
  <c r="AD123" i="13"/>
  <c r="AH59" i="13" l="1"/>
  <c r="AB97" i="13" l="1"/>
  <c r="AA97" i="13" l="1"/>
  <c r="AH29" i="13" l="1"/>
  <c r="AH28" i="13"/>
  <c r="AH70" i="13" l="1"/>
  <c r="AH69" i="13"/>
  <c r="AH73" i="13"/>
  <c r="AH72" i="13"/>
  <c r="AH71" i="13"/>
  <c r="AH68" i="13"/>
  <c r="AH67" i="13" l="1"/>
  <c r="AH66" i="13"/>
  <c r="AH31" i="13" l="1"/>
  <c r="AH16" i="13" l="1"/>
  <c r="N9" i="13" l="1"/>
  <c r="M97" i="13" l="1"/>
  <c r="AH27" i="13" l="1"/>
  <c r="AH26" i="13"/>
  <c r="C34" i="13" l="1"/>
  <c r="C101" i="13" s="1"/>
  <c r="F38" i="13"/>
  <c r="F39" i="13"/>
  <c r="F101" i="13" s="1"/>
  <c r="F40" i="13"/>
  <c r="G41" i="13"/>
  <c r="G101" i="13" s="1"/>
  <c r="F85" i="13"/>
  <c r="H97" i="13"/>
  <c r="H101" i="13" s="1"/>
  <c r="D101" i="13"/>
  <c r="E101" i="13"/>
  <c r="G106" i="13"/>
  <c r="C123" i="13"/>
  <c r="D123" i="13"/>
  <c r="E123" i="13"/>
  <c r="F123" i="13"/>
  <c r="H123" i="13"/>
  <c r="G123" i="13" l="1"/>
  <c r="AH106" i="13"/>
  <c r="AH123" i="13" s="1"/>
  <c r="E124" i="13"/>
  <c r="H124" i="13"/>
  <c r="H127" i="13" s="1"/>
  <c r="H129" i="13" s="1"/>
  <c r="G124" i="13"/>
  <c r="G127" i="13" s="1"/>
  <c r="G129" i="13" s="1"/>
  <c r="C124" i="13"/>
  <c r="C127" i="13" s="1"/>
  <c r="C129" i="13" s="1"/>
  <c r="F124" i="13"/>
  <c r="F127" i="13" s="1"/>
  <c r="F129" i="13" s="1"/>
  <c r="D124" i="13"/>
  <c r="J42" i="13"/>
  <c r="I123" i="13" l="1"/>
  <c r="I97" i="13" l="1"/>
  <c r="AH76" i="13" l="1"/>
  <c r="AH75" i="13"/>
  <c r="AH15" i="13" l="1"/>
  <c r="AH25" i="13" l="1"/>
  <c r="AH24" i="13"/>
  <c r="AH23" i="13"/>
  <c r="AH39" i="13" l="1"/>
  <c r="AH103" i="13"/>
  <c r="AH9" i="13"/>
  <c r="AH12" i="13"/>
  <c r="AH13" i="13"/>
  <c r="AH14" i="13"/>
  <c r="AH17" i="13"/>
  <c r="AH18" i="13"/>
  <c r="AH19" i="13"/>
  <c r="AH20" i="13"/>
  <c r="AH21" i="13"/>
  <c r="AH22" i="13"/>
  <c r="AH30" i="13"/>
  <c r="AH32" i="13"/>
  <c r="AH33" i="13"/>
  <c r="AH35" i="13"/>
  <c r="AH38" i="13"/>
  <c r="AH42" i="13"/>
  <c r="AH44" i="13"/>
  <c r="AH45" i="13"/>
  <c r="AH49" i="13"/>
  <c r="AH50" i="13"/>
  <c r="AH46" i="13"/>
  <c r="AH47" i="13"/>
  <c r="AH57" i="13"/>
  <c r="AH54" i="13"/>
  <c r="AH58" i="13"/>
  <c r="AH56" i="13"/>
  <c r="AH55" i="13"/>
  <c r="AH51" i="13"/>
  <c r="AH52" i="13"/>
  <c r="AH53" i="13"/>
  <c r="AH60" i="13"/>
  <c r="AH61" i="13"/>
  <c r="AH62" i="13"/>
  <c r="AH63" i="13"/>
  <c r="AH64" i="13"/>
  <c r="AH65" i="13"/>
  <c r="AH74" i="13"/>
  <c r="AH80" i="13"/>
  <c r="AH78" i="13"/>
  <c r="AH82" i="13"/>
  <c r="AH83" i="13"/>
  <c r="AH85" i="13"/>
  <c r="AH86" i="13"/>
  <c r="AH87" i="13"/>
  <c r="AH90" i="13"/>
  <c r="AH91" i="13"/>
  <c r="AH88" i="13"/>
  <c r="AH93" i="13"/>
  <c r="AH94" i="13"/>
  <c r="AH92" i="13"/>
  <c r="AH89" i="13"/>
  <c r="AH95" i="13"/>
  <c r="AH96" i="13"/>
  <c r="AH97" i="13"/>
  <c r="AH98" i="13"/>
  <c r="AH99" i="13"/>
  <c r="AH100" i="13"/>
  <c r="AH8" i="13"/>
  <c r="AH79" i="13"/>
  <c r="AH81" i="13"/>
  <c r="AH34" i="13"/>
  <c r="AI146" i="13"/>
  <c r="J144" i="13"/>
  <c r="Y142" i="13"/>
  <c r="Y144" i="13" s="1"/>
  <c r="AE140" i="13"/>
  <c r="AG132" i="13"/>
  <c r="AG135" i="13" s="1"/>
  <c r="AG123" i="13"/>
  <c r="AF123" i="13"/>
  <c r="AE123" i="13"/>
  <c r="AC123" i="13"/>
  <c r="AB123" i="13"/>
  <c r="AA123" i="13"/>
  <c r="Z123" i="13"/>
  <c r="Y123" i="13"/>
  <c r="X123" i="13"/>
  <c r="W123" i="13"/>
  <c r="V123" i="13"/>
  <c r="U123" i="13"/>
  <c r="T123" i="13"/>
  <c r="S123" i="13"/>
  <c r="R123" i="13"/>
  <c r="Q123" i="13"/>
  <c r="P123" i="13"/>
  <c r="O123" i="13"/>
  <c r="N123" i="13"/>
  <c r="M123" i="13"/>
  <c r="L123" i="13"/>
  <c r="K123" i="13"/>
  <c r="J123" i="13"/>
  <c r="AF101" i="13"/>
  <c r="AE101" i="13"/>
  <c r="AD101" i="13"/>
  <c r="AC101" i="13"/>
  <c r="AB101" i="13"/>
  <c r="AA101" i="13"/>
  <c r="Z101" i="13"/>
  <c r="Y101" i="13"/>
  <c r="W101" i="13"/>
  <c r="V101" i="13"/>
  <c r="U101" i="13"/>
  <c r="T101" i="13"/>
  <c r="S101" i="13"/>
  <c r="R101" i="13"/>
  <c r="P101" i="13"/>
  <c r="O101" i="13"/>
  <c r="N101" i="13"/>
  <c r="M101" i="13"/>
  <c r="L101" i="13"/>
  <c r="K101" i="13"/>
  <c r="J101" i="13"/>
  <c r="I101" i="13"/>
  <c r="Q101" i="13"/>
  <c r="X101" i="13"/>
  <c r="AG101" i="13"/>
  <c r="J124" i="13" l="1"/>
  <c r="J127" i="13" s="1"/>
  <c r="J129" i="13" s="1"/>
  <c r="L124" i="13"/>
  <c r="P124" i="13"/>
  <c r="P127" i="13" s="1"/>
  <c r="P129" i="13" s="1"/>
  <c r="Z124" i="13"/>
  <c r="N124" i="13"/>
  <c r="N127" i="13" s="1"/>
  <c r="N129" i="13" s="1"/>
  <c r="I124" i="13"/>
  <c r="I127" i="13" s="1"/>
  <c r="I129" i="13" s="1"/>
  <c r="K124" i="13"/>
  <c r="M124" i="13"/>
  <c r="M127" i="13" s="1"/>
  <c r="M129" i="13" s="1"/>
  <c r="O124" i="13"/>
  <c r="O127" i="13" s="1"/>
  <c r="O129" i="13" s="1"/>
  <c r="Y124" i="13"/>
  <c r="AA124" i="13"/>
  <c r="AA127" i="13" s="1"/>
  <c r="AA129" i="13" s="1"/>
  <c r="AC124" i="13"/>
  <c r="AC127" i="13" s="1"/>
  <c r="AC129" i="13" s="1"/>
  <c r="AE124" i="13"/>
  <c r="AE127" i="13" s="1"/>
  <c r="AE129" i="13" s="1"/>
  <c r="AB124" i="13"/>
  <c r="AB127" i="13" s="1"/>
  <c r="AB129" i="13" s="1"/>
  <c r="AD124" i="13"/>
  <c r="AD127" i="13" s="1"/>
  <c r="AD129" i="13" s="1"/>
  <c r="AF124" i="13"/>
  <c r="X124" i="13"/>
  <c r="X127" i="13" s="1"/>
  <c r="X129" i="13" s="1"/>
  <c r="AH48" i="13"/>
  <c r="AH101" i="13" s="1"/>
  <c r="AG124" i="13"/>
  <c r="Q124" i="13"/>
  <c r="Q127" i="13" s="1"/>
  <c r="Q129" i="13" s="1"/>
  <c r="S124" i="13"/>
  <c r="U124" i="13"/>
  <c r="U127" i="13" s="1"/>
  <c r="U129" i="13" s="1"/>
  <c r="W124" i="13"/>
  <c r="R124" i="13"/>
  <c r="T124" i="13"/>
  <c r="T127" i="13" s="1"/>
  <c r="T129" i="13" s="1"/>
  <c r="V124" i="13"/>
  <c r="K131" i="13" l="1"/>
  <c r="AH124" i="13"/>
  <c r="AG36" i="12"/>
  <c r="AG90" i="12"/>
  <c r="AG88" i="12"/>
  <c r="AG60" i="12"/>
  <c r="Y42" i="12" l="1"/>
  <c r="X40" i="12" l="1"/>
  <c r="Q84" i="12" l="1"/>
  <c r="L115" i="12" l="1"/>
  <c r="J159" i="12"/>
  <c r="K115" i="12" l="1"/>
  <c r="K138" i="12"/>
  <c r="H138" i="12" l="1"/>
  <c r="H36" i="12" l="1"/>
  <c r="H9" i="12"/>
  <c r="H115" i="12" l="1"/>
  <c r="D115" i="12"/>
  <c r="C115" i="12" l="1"/>
  <c r="AF89" i="11" l="1"/>
  <c r="AI161" i="12" l="1"/>
  <c r="Y157" i="12"/>
  <c r="Y159" i="12" s="1"/>
  <c r="AE155" i="12"/>
  <c r="AG147" i="12"/>
  <c r="AG150" i="12" s="1"/>
  <c r="AG138" i="12"/>
  <c r="AF138" i="12"/>
  <c r="AE138" i="12"/>
  <c r="AD138" i="12"/>
  <c r="AC138" i="12"/>
  <c r="AB138" i="12"/>
  <c r="AA138" i="12"/>
  <c r="Z138" i="12"/>
  <c r="Y138" i="12"/>
  <c r="X138" i="12"/>
  <c r="W138" i="12"/>
  <c r="V138" i="12"/>
  <c r="U138" i="12"/>
  <c r="T138" i="12"/>
  <c r="S138" i="12"/>
  <c r="R138" i="12"/>
  <c r="Q138" i="12"/>
  <c r="P138" i="12"/>
  <c r="O138" i="12"/>
  <c r="N138" i="12"/>
  <c r="M138" i="12"/>
  <c r="L138" i="12"/>
  <c r="J138" i="12"/>
  <c r="I138" i="12"/>
  <c r="G138" i="12"/>
  <c r="F138" i="12"/>
  <c r="E138" i="12"/>
  <c r="D138" i="12"/>
  <c r="C138" i="12"/>
  <c r="AH136" i="12"/>
  <c r="AH133" i="12"/>
  <c r="AH132" i="12"/>
  <c r="AH129" i="12"/>
  <c r="AH128" i="12"/>
  <c r="AH118" i="12"/>
  <c r="AG115" i="12"/>
  <c r="AD115" i="12"/>
  <c r="AC115" i="12"/>
  <c r="AB115" i="12"/>
  <c r="AA115" i="12"/>
  <c r="Z115" i="12"/>
  <c r="Y115" i="12"/>
  <c r="X115" i="12"/>
  <c r="W115" i="12"/>
  <c r="V115" i="12"/>
  <c r="U115" i="12"/>
  <c r="T115" i="12"/>
  <c r="R115" i="12"/>
  <c r="Q115" i="12"/>
  <c r="P115" i="12"/>
  <c r="O115" i="12"/>
  <c r="M115" i="12"/>
  <c r="K139" i="12"/>
  <c r="K142" i="12" s="1"/>
  <c r="K144" i="12" s="1"/>
  <c r="I115" i="12"/>
  <c r="H139" i="12"/>
  <c r="H142" i="12" s="1"/>
  <c r="H144" i="12" s="1"/>
  <c r="F115" i="12"/>
  <c r="E115" i="12"/>
  <c r="AH113" i="12"/>
  <c r="AH111" i="12"/>
  <c r="AH110" i="12"/>
  <c r="AH108" i="12"/>
  <c r="AH107" i="12"/>
  <c r="AH106" i="12"/>
  <c r="AF115" i="12"/>
  <c r="AH95" i="12"/>
  <c r="AH65" i="12"/>
  <c r="AH64" i="12"/>
  <c r="AE115" i="12"/>
  <c r="AK52" i="12"/>
  <c r="AH45" i="12"/>
  <c r="G115" i="12"/>
  <c r="AH43" i="12"/>
  <c r="J115" i="12"/>
  <c r="AH41" i="12"/>
  <c r="AH40" i="12"/>
  <c r="S115" i="12"/>
  <c r="AI37" i="12"/>
  <c r="AH37" i="12"/>
  <c r="AH36" i="12"/>
  <c r="AH35" i="12"/>
  <c r="AH34" i="12"/>
  <c r="AH33" i="12"/>
  <c r="N115" i="12"/>
  <c r="AH19" i="12"/>
  <c r="AH18" i="12"/>
  <c r="AH17" i="12"/>
  <c r="AH13" i="12"/>
  <c r="AH12" i="12"/>
  <c r="AH11" i="12"/>
  <c r="AH9" i="12"/>
  <c r="AH8" i="12"/>
  <c r="AH7" i="12"/>
  <c r="AF107" i="11"/>
  <c r="M139" i="12" l="1"/>
  <c r="U139" i="12"/>
  <c r="W139" i="12"/>
  <c r="W142" i="12" s="1"/>
  <c r="W144" i="12" s="1"/>
  <c r="Y139" i="12"/>
  <c r="Y142" i="12" s="1"/>
  <c r="Y144" i="12" s="1"/>
  <c r="AA139" i="12"/>
  <c r="AC139" i="12"/>
  <c r="AC142" i="12" s="1"/>
  <c r="AC144" i="12" s="1"/>
  <c r="AG139" i="12"/>
  <c r="AG142" i="12" s="1"/>
  <c r="AG144" i="12" s="1"/>
  <c r="S139" i="12"/>
  <c r="S142" i="12" s="1"/>
  <c r="S144" i="12" s="1"/>
  <c r="AE139" i="12"/>
  <c r="AE142" i="12" s="1"/>
  <c r="AE144" i="12" s="1"/>
  <c r="I139" i="12"/>
  <c r="I142" i="12" s="1"/>
  <c r="I144" i="12" s="1"/>
  <c r="O139" i="12"/>
  <c r="O142" i="12" s="1"/>
  <c r="Q139" i="12"/>
  <c r="Q142" i="12" s="1"/>
  <c r="Q144" i="12" s="1"/>
  <c r="J139" i="12"/>
  <c r="J142" i="12" s="1"/>
  <c r="J144" i="12" s="1"/>
  <c r="K146" i="12" s="1"/>
  <c r="G139" i="12"/>
  <c r="E139" i="12"/>
  <c r="E142" i="12" s="1"/>
  <c r="E144" i="12" s="1"/>
  <c r="P139" i="12"/>
  <c r="P142" i="12" s="1"/>
  <c r="P144" i="12" s="1"/>
  <c r="R139" i="12"/>
  <c r="R142" i="12" s="1"/>
  <c r="R144" i="12" s="1"/>
  <c r="AH138" i="12"/>
  <c r="C139" i="12"/>
  <c r="C142" i="12" s="1"/>
  <c r="C144" i="12" s="1"/>
  <c r="N139" i="12"/>
  <c r="AF139" i="12"/>
  <c r="AF142" i="12" s="1"/>
  <c r="AF144" i="12" s="1"/>
  <c r="D139" i="12"/>
  <c r="D142" i="12" s="1"/>
  <c r="D144" i="12" s="1"/>
  <c r="F139" i="12"/>
  <c r="L139" i="12"/>
  <c r="L142" i="12" s="1"/>
  <c r="L144" i="12" s="1"/>
  <c r="T139" i="12"/>
  <c r="V139" i="12"/>
  <c r="V142" i="12" s="1"/>
  <c r="V144" i="12" s="1"/>
  <c r="X139" i="12"/>
  <c r="X142" i="12" s="1"/>
  <c r="X144" i="12" s="1"/>
  <c r="Z139" i="12"/>
  <c r="Z142" i="12" s="1"/>
  <c r="Z144" i="12" s="1"/>
  <c r="AB139" i="12"/>
  <c r="AD139" i="12"/>
  <c r="AD142" i="12" s="1"/>
  <c r="AD144" i="12" s="1"/>
  <c r="AH20" i="12"/>
  <c r="AH115" i="12" s="1"/>
  <c r="AH139" i="12" l="1"/>
  <c r="AE131" i="11"/>
  <c r="AE54" i="11" l="1"/>
  <c r="AE107" i="11" s="1"/>
  <c r="Z107" i="11" l="1"/>
  <c r="Z131" i="11"/>
  <c r="X104" i="11" l="1"/>
  <c r="X103" i="11" l="1"/>
  <c r="X107" i="11" s="1"/>
  <c r="U131" i="11" l="1"/>
  <c r="U107" i="11" l="1"/>
  <c r="S103" i="11" l="1"/>
  <c r="S36" i="11" l="1"/>
  <c r="S107" i="11" l="1"/>
  <c r="Q131" i="11" l="1"/>
  <c r="Q107" i="11"/>
  <c r="N19" i="11" l="1"/>
  <c r="N107" i="11" s="1"/>
  <c r="M131" i="11" l="1"/>
  <c r="M107" i="11"/>
  <c r="K107" i="11" l="1"/>
  <c r="K131" i="11"/>
  <c r="J131" i="11" l="1"/>
  <c r="J37" i="11"/>
  <c r="J107" i="11" s="1"/>
  <c r="G39" i="11" l="1"/>
  <c r="G131" i="11"/>
  <c r="G87" i="11"/>
  <c r="G107" i="11" l="1"/>
  <c r="F37" i="11" l="1"/>
  <c r="C107" i="11" l="1"/>
  <c r="AI154" i="11"/>
  <c r="Y150" i="11"/>
  <c r="Y152" i="11" s="1"/>
  <c r="AE148" i="11"/>
  <c r="AG140" i="11"/>
  <c r="AG143" i="11" s="1"/>
  <c r="AG131" i="11"/>
  <c r="AF131" i="11"/>
  <c r="AD131" i="11"/>
  <c r="AC131" i="11"/>
  <c r="AB131" i="11"/>
  <c r="AA131" i="11"/>
  <c r="Y131" i="11"/>
  <c r="X131" i="11"/>
  <c r="W131" i="11"/>
  <c r="V131" i="11"/>
  <c r="T131" i="11"/>
  <c r="S131" i="11"/>
  <c r="R131" i="11"/>
  <c r="P131" i="11"/>
  <c r="N131" i="11"/>
  <c r="L131" i="11"/>
  <c r="I131" i="11"/>
  <c r="H131" i="11"/>
  <c r="F131" i="11"/>
  <c r="E131" i="11"/>
  <c r="D131" i="11"/>
  <c r="C131" i="11"/>
  <c r="AH129" i="11"/>
  <c r="AH126" i="11"/>
  <c r="AH125" i="11"/>
  <c r="O131" i="11"/>
  <c r="AH122" i="11"/>
  <c r="AH121" i="11"/>
  <c r="AH113" i="11"/>
  <c r="AH110" i="11"/>
  <c r="AG107" i="11"/>
  <c r="AD107" i="11"/>
  <c r="AC107" i="11"/>
  <c r="AA107" i="11"/>
  <c r="V107" i="11"/>
  <c r="T107" i="11"/>
  <c r="R107" i="11"/>
  <c r="O107" i="11"/>
  <c r="O132" i="11" s="1"/>
  <c r="L107" i="11"/>
  <c r="J132" i="11"/>
  <c r="J135" i="11" s="1"/>
  <c r="J137" i="11" s="1"/>
  <c r="I107" i="11"/>
  <c r="H107" i="11"/>
  <c r="F107" i="11"/>
  <c r="E107" i="11"/>
  <c r="AH105" i="11"/>
  <c r="AH103" i="11"/>
  <c r="AH102" i="11"/>
  <c r="AH101" i="11"/>
  <c r="AH100" i="11"/>
  <c r="AH99" i="11"/>
  <c r="AH87" i="11"/>
  <c r="Y107" i="11"/>
  <c r="AH63" i="11"/>
  <c r="AH62" i="11"/>
  <c r="AK47" i="11"/>
  <c r="D107" i="11"/>
  <c r="AH40" i="11"/>
  <c r="AH38" i="11"/>
  <c r="AH36" i="11"/>
  <c r="AI35" i="11"/>
  <c r="AH35" i="11"/>
  <c r="AH34" i="11"/>
  <c r="AB107" i="11"/>
  <c r="AH33" i="11"/>
  <c r="AH32" i="11"/>
  <c r="AH31" i="11"/>
  <c r="AH20" i="11"/>
  <c r="AH19" i="11"/>
  <c r="AH18" i="11"/>
  <c r="AH17" i="11"/>
  <c r="AH16" i="11"/>
  <c r="AH12" i="11"/>
  <c r="AH11" i="11"/>
  <c r="AH10" i="11"/>
  <c r="AH9" i="11"/>
  <c r="AH8" i="11"/>
  <c r="W107" i="11"/>
  <c r="P107" i="11"/>
  <c r="U132" i="11" l="1"/>
  <c r="U135" i="11" s="1"/>
  <c r="U137" i="11" s="1"/>
  <c r="V132" i="11"/>
  <c r="Z132" i="11"/>
  <c r="Z135" i="11" s="1"/>
  <c r="Z137" i="11" s="1"/>
  <c r="AA132" i="11"/>
  <c r="AA135" i="11" s="1"/>
  <c r="AA137" i="11" s="1"/>
  <c r="AG132" i="11"/>
  <c r="AB132" i="11"/>
  <c r="AB135" i="11" s="1"/>
  <c r="AB137" i="11" s="1"/>
  <c r="Y132" i="11"/>
  <c r="Y135" i="11" s="1"/>
  <c r="Y137" i="11" s="1"/>
  <c r="C132" i="11"/>
  <c r="C135" i="11" s="1"/>
  <c r="C137" i="11" s="1"/>
  <c r="P132" i="11"/>
  <c r="AF132" i="11"/>
  <c r="AF135" i="11" s="1"/>
  <c r="AF137" i="11" s="1"/>
  <c r="E132" i="11"/>
  <c r="E135" i="11" s="1"/>
  <c r="E137" i="11" s="1"/>
  <c r="G132" i="11"/>
  <c r="G135" i="11" s="1"/>
  <c r="G137" i="11" s="1"/>
  <c r="I132" i="11"/>
  <c r="K132" i="11"/>
  <c r="K135" i="11" s="1"/>
  <c r="M132" i="11"/>
  <c r="M135" i="11" s="1"/>
  <c r="M137" i="11" s="1"/>
  <c r="R132" i="11"/>
  <c r="T132" i="11"/>
  <c r="T135" i="11" s="1"/>
  <c r="T137" i="11" s="1"/>
  <c r="X132" i="11"/>
  <c r="X135" i="11" s="1"/>
  <c r="X137" i="11" s="1"/>
  <c r="AD132" i="11"/>
  <c r="W132" i="11"/>
  <c r="D132" i="11"/>
  <c r="D135" i="11" s="1"/>
  <c r="D137" i="11" s="1"/>
  <c r="F132" i="11"/>
  <c r="F135" i="11" s="1"/>
  <c r="F137" i="11" s="1"/>
  <c r="H132" i="11"/>
  <c r="L132" i="11"/>
  <c r="N132" i="11"/>
  <c r="N135" i="11" s="1"/>
  <c r="N137" i="11" s="1"/>
  <c r="Q132" i="11"/>
  <c r="Q135" i="11" s="1"/>
  <c r="Q137" i="11" s="1"/>
  <c r="S132" i="11"/>
  <c r="S135" i="11" s="1"/>
  <c r="S137" i="11" s="1"/>
  <c r="AC132" i="11"/>
  <c r="AE132" i="11"/>
  <c r="AE135" i="11" s="1"/>
  <c r="AE137" i="11" s="1"/>
  <c r="K139" i="11"/>
  <c r="AH7" i="11"/>
  <c r="AH37" i="11"/>
  <c r="AH116" i="11"/>
  <c r="AH131" i="11" s="1"/>
  <c r="AH132" i="11" l="1"/>
  <c r="AH107" i="11"/>
  <c r="AF74" i="10"/>
  <c r="AE90" i="10" l="1"/>
  <c r="AK42" i="10" l="1"/>
  <c r="AB32" i="10" l="1"/>
  <c r="AB28" i="10" l="1"/>
  <c r="X125" i="10" l="1"/>
  <c r="Y136" i="10" l="1"/>
  <c r="Y138" i="10" s="1"/>
  <c r="Y69" i="10" l="1"/>
  <c r="U31" i="10" l="1"/>
  <c r="P117" i="10" l="1"/>
  <c r="P69" i="10" l="1"/>
  <c r="P20" i="10"/>
  <c r="W8" i="10" l="1"/>
  <c r="Q93" i="10" s="1"/>
  <c r="P7" i="10"/>
  <c r="P93" i="10" s="1"/>
  <c r="O109" i="10" l="1"/>
  <c r="O115" i="10"/>
  <c r="N117" i="10" l="1"/>
  <c r="N93" i="10"/>
  <c r="K93" i="10" l="1"/>
  <c r="K102" i="10" l="1"/>
  <c r="K100" i="10"/>
  <c r="K99" i="10"/>
  <c r="J114" i="10" l="1"/>
  <c r="J117" i="10" l="1"/>
  <c r="J93" i="10"/>
  <c r="I93" i="10" l="1"/>
  <c r="D117" i="10" l="1"/>
  <c r="E117" i="10"/>
  <c r="F117" i="10"/>
  <c r="G117" i="10"/>
  <c r="H117" i="10"/>
  <c r="I117" i="10"/>
  <c r="K117" i="10"/>
  <c r="L117" i="10"/>
  <c r="M117" i="10"/>
  <c r="O117" i="10"/>
  <c r="Q117" i="10"/>
  <c r="R117" i="10"/>
  <c r="S117" i="10"/>
  <c r="T117" i="10"/>
  <c r="U117" i="10"/>
  <c r="V117" i="10"/>
  <c r="W117" i="10"/>
  <c r="X117" i="10"/>
  <c r="Y117" i="10"/>
  <c r="Z117" i="10"/>
  <c r="AA117" i="10"/>
  <c r="AB117" i="10"/>
  <c r="AC117" i="10"/>
  <c r="AD117" i="10"/>
  <c r="AE117" i="10"/>
  <c r="AF117" i="10"/>
  <c r="AG117" i="10"/>
  <c r="C117" i="10"/>
  <c r="C93" i="10"/>
  <c r="AI140" i="10" l="1"/>
  <c r="AE134" i="10"/>
  <c r="AG126" i="10"/>
  <c r="AG129" i="10" s="1"/>
  <c r="AH115" i="10"/>
  <c r="AH112" i="10"/>
  <c r="AH111" i="10"/>
  <c r="AH108" i="10"/>
  <c r="AH107" i="10"/>
  <c r="AH102" i="10"/>
  <c r="AH99" i="10"/>
  <c r="AH96" i="10"/>
  <c r="AG93" i="10"/>
  <c r="AC93" i="10"/>
  <c r="AB93" i="10"/>
  <c r="AB118" i="10" s="1"/>
  <c r="AB121" i="10" s="1"/>
  <c r="AB123" i="10" s="1"/>
  <c r="Y93" i="10"/>
  <c r="V93" i="10"/>
  <c r="V118" i="10" s="1"/>
  <c r="U93" i="10"/>
  <c r="T93" i="10"/>
  <c r="T118" i="10" s="1"/>
  <c r="S93" i="10"/>
  <c r="O93" i="10"/>
  <c r="N118" i="10"/>
  <c r="N121" i="10" s="1"/>
  <c r="N123" i="10" s="1"/>
  <c r="M93" i="10"/>
  <c r="L93" i="10"/>
  <c r="L118" i="10" s="1"/>
  <c r="J118" i="10"/>
  <c r="J121" i="10" s="1"/>
  <c r="J123" i="10" s="1"/>
  <c r="H93" i="10"/>
  <c r="H118" i="10" s="1"/>
  <c r="H121" i="10" s="1"/>
  <c r="H123" i="10" s="1"/>
  <c r="F93" i="10"/>
  <c r="F118" i="10" s="1"/>
  <c r="AH91" i="10"/>
  <c r="AE93" i="10"/>
  <c r="X93" i="10"/>
  <c r="X118" i="10" s="1"/>
  <c r="P118" i="10"/>
  <c r="P121" i="10" s="1"/>
  <c r="P123" i="10" s="1"/>
  <c r="AH90" i="10"/>
  <c r="AH89" i="10"/>
  <c r="AH88" i="10"/>
  <c r="AH87" i="10"/>
  <c r="AH86" i="10"/>
  <c r="AH70" i="10"/>
  <c r="AH57" i="10"/>
  <c r="G57" i="10"/>
  <c r="E93" i="10" s="1"/>
  <c r="AH56" i="10"/>
  <c r="AH37" i="10"/>
  <c r="D37" i="10"/>
  <c r="AF93" i="10" s="1"/>
  <c r="AF118" i="10" s="1"/>
  <c r="AF121" i="10" s="1"/>
  <c r="AF123" i="10" s="1"/>
  <c r="AH34" i="10"/>
  <c r="AH32" i="10"/>
  <c r="AH31" i="10"/>
  <c r="Z93" i="10"/>
  <c r="Z118" i="10" s="1"/>
  <c r="R93" i="10"/>
  <c r="R118" i="10" s="1"/>
  <c r="R121" i="10" s="1"/>
  <c r="R123" i="10" s="1"/>
  <c r="W93" i="10"/>
  <c r="AH30" i="10"/>
  <c r="AI29" i="10"/>
  <c r="AH29" i="10"/>
  <c r="AH28" i="10"/>
  <c r="AD93" i="10"/>
  <c r="AD118" i="10" s="1"/>
  <c r="AD121" i="10" s="1"/>
  <c r="AD123" i="10" s="1"/>
  <c r="AH27" i="10"/>
  <c r="AH26" i="10"/>
  <c r="AH25" i="10"/>
  <c r="AH22" i="10"/>
  <c r="AH20" i="10"/>
  <c r="AH19" i="10"/>
  <c r="AH18" i="10"/>
  <c r="AH17" i="10"/>
  <c r="AH13" i="10"/>
  <c r="AH12" i="10"/>
  <c r="AH11" i="10"/>
  <c r="AA93" i="10"/>
  <c r="AH10" i="10"/>
  <c r="AH9" i="10"/>
  <c r="D93" i="10"/>
  <c r="D118" i="10" s="1"/>
  <c r="D121" i="10" s="1"/>
  <c r="D123" i="10" s="1"/>
  <c r="G93" i="10" l="1"/>
  <c r="G118" i="10" s="1"/>
  <c r="G121" i="10" s="1"/>
  <c r="G123" i="10" s="1"/>
  <c r="W118" i="10"/>
  <c r="W121" i="10" s="1"/>
  <c r="W123" i="10" s="1"/>
  <c r="M118" i="10"/>
  <c r="O118" i="10"/>
  <c r="O121" i="10" s="1"/>
  <c r="O123" i="10" s="1"/>
  <c r="S118" i="10"/>
  <c r="U118" i="10"/>
  <c r="U121" i="10" s="1"/>
  <c r="U123" i="10" s="1"/>
  <c r="Y118" i="10"/>
  <c r="Y121" i="10" s="1"/>
  <c r="Y123" i="10" s="1"/>
  <c r="AC118" i="10"/>
  <c r="AC121" i="10" s="1"/>
  <c r="AC123" i="10" s="1"/>
  <c r="AH117" i="10"/>
  <c r="C118" i="10"/>
  <c r="C121" i="10" s="1"/>
  <c r="C123" i="10" s="1"/>
  <c r="AG118" i="10"/>
  <c r="AA118" i="10"/>
  <c r="AE118" i="10"/>
  <c r="AE121" i="10" s="1"/>
  <c r="AE123" i="10" s="1"/>
  <c r="E118" i="10"/>
  <c r="E121" i="10" s="1"/>
  <c r="I118" i="10"/>
  <c r="I121" i="10" s="1"/>
  <c r="I123" i="10" s="1"/>
  <c r="Q118" i="10"/>
  <c r="Q121" i="10" s="1"/>
  <c r="Q123" i="10" s="1"/>
  <c r="K118" i="10"/>
  <c r="AH7" i="10"/>
  <c r="AH93" i="10" s="1"/>
  <c r="AE67" i="9"/>
  <c r="K125" i="10" l="1"/>
  <c r="K121" i="10"/>
  <c r="K123" i="10" s="1"/>
  <c r="AH118" i="10"/>
  <c r="AD23" i="9"/>
  <c r="AD67" i="9"/>
  <c r="AD43" i="9"/>
  <c r="AE66" i="9"/>
  <c r="AA9" i="9" l="1"/>
  <c r="Z28" i="9" l="1"/>
  <c r="X66" i="9" l="1"/>
  <c r="W81" i="9" l="1"/>
  <c r="W27" i="9"/>
  <c r="S81" i="9" l="1"/>
  <c r="R28" i="9" l="1"/>
  <c r="Q81" i="9" l="1"/>
  <c r="Q27" i="9"/>
  <c r="P81" i="9" l="1"/>
  <c r="P67" i="9" l="1"/>
  <c r="P66" i="9"/>
  <c r="M66" i="9" l="1"/>
  <c r="M81" i="9" l="1"/>
  <c r="M69" i="9"/>
  <c r="AF68" i="9" l="1"/>
  <c r="P69" i="9" s="1"/>
  <c r="L81" i="9"/>
  <c r="K66" i="9" l="1"/>
  <c r="K81" i="9" l="1"/>
  <c r="K69" i="9"/>
  <c r="J69" i="9" l="1"/>
  <c r="J81" i="9"/>
  <c r="S9" i="9" l="1"/>
  <c r="S69" i="9" s="1"/>
  <c r="I81" i="9" l="1"/>
  <c r="F69" i="9" l="1"/>
  <c r="F81" i="9" l="1"/>
  <c r="D7" i="9" l="1"/>
  <c r="D67" i="9" l="1"/>
  <c r="D69" i="9" l="1"/>
  <c r="D81" i="9"/>
  <c r="AI104" i="9" l="1"/>
  <c r="AE98" i="9"/>
  <c r="AG90" i="9"/>
  <c r="AG93" i="9" s="1"/>
  <c r="AG81" i="9"/>
  <c r="AF81" i="9"/>
  <c r="AE81" i="9"/>
  <c r="AD81" i="9"/>
  <c r="AC81" i="9"/>
  <c r="AB81" i="9"/>
  <c r="AA81" i="9"/>
  <c r="Z81" i="9"/>
  <c r="Y81" i="9"/>
  <c r="X81" i="9"/>
  <c r="V81" i="9"/>
  <c r="U81" i="9"/>
  <c r="T81" i="9"/>
  <c r="R81" i="9"/>
  <c r="O81" i="9"/>
  <c r="N81" i="9"/>
  <c r="H81" i="9"/>
  <c r="G81" i="9"/>
  <c r="E81" i="9"/>
  <c r="C81" i="9"/>
  <c r="AH80" i="9"/>
  <c r="AH78" i="9"/>
  <c r="AH77" i="9"/>
  <c r="AH76" i="9"/>
  <c r="AH75" i="9"/>
  <c r="AH74" i="9"/>
  <c r="AH73" i="9"/>
  <c r="AH72" i="9"/>
  <c r="AG69" i="9"/>
  <c r="AG82" i="9" s="1"/>
  <c r="AC69" i="9"/>
  <c r="AB69" i="9"/>
  <c r="Z69" i="9"/>
  <c r="X69" i="9"/>
  <c r="W69" i="9"/>
  <c r="V69" i="9"/>
  <c r="U69" i="9"/>
  <c r="R69" i="9"/>
  <c r="O69" i="9"/>
  <c r="N69" i="9"/>
  <c r="H69" i="9"/>
  <c r="G69" i="9"/>
  <c r="E69" i="9"/>
  <c r="D82" i="9"/>
  <c r="D85" i="9" s="1"/>
  <c r="AH67" i="9"/>
  <c r="AA69" i="9"/>
  <c r="AH66" i="9"/>
  <c r="AH65" i="9"/>
  <c r="AH64" i="9"/>
  <c r="AH63" i="9"/>
  <c r="AH62" i="9"/>
  <c r="AH54" i="9"/>
  <c r="C69" i="9"/>
  <c r="AF44" i="9"/>
  <c r="AH44" i="9" s="1"/>
  <c r="T69" i="9"/>
  <c r="AH43" i="9"/>
  <c r="AF33" i="9"/>
  <c r="L69" i="9" s="1"/>
  <c r="Y69" i="9"/>
  <c r="AH31" i="9"/>
  <c r="AH29" i="9"/>
  <c r="AH28" i="9"/>
  <c r="AH27" i="9"/>
  <c r="J82" i="9"/>
  <c r="J85" i="9" s="1"/>
  <c r="AI24" i="9"/>
  <c r="AH24" i="9"/>
  <c r="AH23" i="9"/>
  <c r="AH22" i="9"/>
  <c r="AH21" i="9"/>
  <c r="AH20" i="9"/>
  <c r="AH19" i="9"/>
  <c r="AH18" i="9"/>
  <c r="AH17" i="9"/>
  <c r="AH16" i="9"/>
  <c r="AH15" i="9"/>
  <c r="AH12" i="9"/>
  <c r="AH11" i="9"/>
  <c r="AH10" i="9"/>
  <c r="AH9" i="9"/>
  <c r="AH8" i="9"/>
  <c r="AH7" i="9"/>
  <c r="AF69" i="9" l="1"/>
  <c r="AF82" i="9" s="1"/>
  <c r="AF85" i="9" s="1"/>
  <c r="AF87" i="9" s="1"/>
  <c r="AD69" i="9"/>
  <c r="AD82" i="9" s="1"/>
  <c r="AD85" i="9" s="1"/>
  <c r="AD87" i="9" s="1"/>
  <c r="S82" i="9"/>
  <c r="S85" i="9" s="1"/>
  <c r="S87" i="9" s="1"/>
  <c r="Q69" i="9"/>
  <c r="Q82" i="9" s="1"/>
  <c r="Q85" i="9" s="1"/>
  <c r="T82" i="9"/>
  <c r="T85" i="9" s="1"/>
  <c r="T87" i="9" s="1"/>
  <c r="Y82" i="9"/>
  <c r="Y85" i="9" s="1"/>
  <c r="Y87" i="9" s="1"/>
  <c r="V82" i="9"/>
  <c r="X82" i="9"/>
  <c r="X85" i="9" s="1"/>
  <c r="X87" i="9" s="1"/>
  <c r="AB82" i="9"/>
  <c r="K82" i="9"/>
  <c r="K85" i="9" s="1"/>
  <c r="L82" i="9"/>
  <c r="L85" i="9" s="1"/>
  <c r="N82" i="9"/>
  <c r="P82" i="9"/>
  <c r="P85" i="9" s="1"/>
  <c r="R82" i="9"/>
  <c r="R85" i="9" s="1"/>
  <c r="Z82" i="9"/>
  <c r="Z85" i="9" s="1"/>
  <c r="Z87" i="9" s="1"/>
  <c r="AE69" i="9"/>
  <c r="AE82" i="9" s="1"/>
  <c r="AE85" i="9" s="1"/>
  <c r="AE87" i="9" s="1"/>
  <c r="I69" i="9"/>
  <c r="I82" i="9" s="1"/>
  <c r="I85" i="9" s="1"/>
  <c r="H82" i="9"/>
  <c r="G82" i="9"/>
  <c r="M82" i="9"/>
  <c r="M85" i="9" s="1"/>
  <c r="O82" i="9"/>
  <c r="F82" i="9"/>
  <c r="F85" i="9" s="1"/>
  <c r="E82" i="9"/>
  <c r="E85" i="9" s="1"/>
  <c r="C82" i="9"/>
  <c r="AA82" i="9"/>
  <c r="AA85" i="9" s="1"/>
  <c r="AA87" i="9" s="1"/>
  <c r="U82" i="9"/>
  <c r="W82" i="9"/>
  <c r="W85" i="9" s="1"/>
  <c r="W87" i="9" s="1"/>
  <c r="AC82" i="9"/>
  <c r="AH81" i="9"/>
  <c r="AH33" i="9"/>
  <c r="AH69" i="9" s="1"/>
  <c r="AE79" i="8"/>
  <c r="AE64" i="8"/>
  <c r="AH82" i="9" l="1"/>
  <c r="AE67" i="8"/>
  <c r="AA64" i="8" l="1"/>
  <c r="AA65" i="8" l="1"/>
  <c r="AA79" i="8"/>
  <c r="AA67" i="8"/>
  <c r="Y79" i="8" l="1"/>
  <c r="Y28" i="8" l="1"/>
  <c r="X67" i="8" l="1"/>
  <c r="X79" i="8"/>
  <c r="U67" i="8" l="1"/>
  <c r="U79" i="8"/>
  <c r="U80" i="8" l="1"/>
  <c r="U83" i="8" s="1"/>
  <c r="U90" i="8" l="1"/>
  <c r="T79" i="8" l="1"/>
  <c r="V79" i="8" l="1"/>
  <c r="W79" i="8"/>
  <c r="Z79" i="8"/>
  <c r="AB79" i="8"/>
  <c r="AC79" i="8"/>
  <c r="AD79" i="8"/>
  <c r="AF79" i="8"/>
  <c r="AG79" i="8"/>
  <c r="S79" i="8"/>
  <c r="R79" i="8" l="1"/>
  <c r="R67" i="8" l="1"/>
  <c r="R80" i="8" l="1"/>
  <c r="R83" i="8" s="1"/>
  <c r="Q79" i="8"/>
  <c r="K64" i="8" l="1"/>
  <c r="K67" i="8" s="1"/>
  <c r="J65" i="8" l="1"/>
  <c r="J64" i="8"/>
  <c r="J79" i="8" l="1"/>
  <c r="D79" i="8"/>
  <c r="E79" i="8"/>
  <c r="F79" i="8"/>
  <c r="G79" i="8"/>
  <c r="H79" i="8"/>
  <c r="I79" i="8"/>
  <c r="K79" i="8"/>
  <c r="L79" i="8"/>
  <c r="M79" i="8"/>
  <c r="N79" i="8"/>
  <c r="O79" i="8"/>
  <c r="P79" i="8"/>
  <c r="C79" i="8"/>
  <c r="J24" i="8"/>
  <c r="J23" i="8"/>
  <c r="J67" i="8" l="1"/>
  <c r="J80" i="8" s="1"/>
  <c r="D67" i="8" l="1"/>
  <c r="E67" i="8"/>
  <c r="H67" i="8"/>
  <c r="H80" i="8" s="1"/>
  <c r="I67" i="8"/>
  <c r="L67" i="8"/>
  <c r="M67" i="8"/>
  <c r="N67" i="8"/>
  <c r="O67" i="8"/>
  <c r="P67" i="8"/>
  <c r="Q67" i="8"/>
  <c r="V67" i="8"/>
  <c r="W67" i="8"/>
  <c r="Z67" i="8"/>
  <c r="AB67" i="8"/>
  <c r="AC67" i="8"/>
  <c r="AD67" i="8"/>
  <c r="AF67" i="8"/>
  <c r="AG67" i="8"/>
  <c r="T40" i="8"/>
  <c r="AH40" i="8" s="1"/>
  <c r="Y29" i="8"/>
  <c r="G67" i="8" s="1"/>
  <c r="F67" i="8"/>
  <c r="C64" i="8"/>
  <c r="AH64" i="8" s="1"/>
  <c r="C51" i="8"/>
  <c r="AI102" i="8"/>
  <c r="AE96" i="8"/>
  <c r="AG88" i="8"/>
  <c r="AG91" i="8" s="1"/>
  <c r="AH78" i="8"/>
  <c r="AH77" i="8"/>
  <c r="AH76" i="8"/>
  <c r="AH75" i="8"/>
  <c r="AH74" i="8"/>
  <c r="AH73" i="8"/>
  <c r="AH72" i="8"/>
  <c r="AH71" i="8"/>
  <c r="AH70" i="8"/>
  <c r="AH65" i="8"/>
  <c r="AH63" i="8"/>
  <c r="AH62" i="8"/>
  <c r="AH61" i="8"/>
  <c r="AH60" i="8"/>
  <c r="AH52" i="8"/>
  <c r="AH44" i="8"/>
  <c r="AH39" i="8"/>
  <c r="AH27" i="8"/>
  <c r="AH26" i="8"/>
  <c r="AH25" i="8"/>
  <c r="AI22" i="8"/>
  <c r="AH22" i="8"/>
  <c r="AH21" i="8"/>
  <c r="AH20" i="8"/>
  <c r="AH19" i="8"/>
  <c r="AH18" i="8"/>
  <c r="AH17" i="8"/>
  <c r="AH16" i="8"/>
  <c r="AH15" i="8"/>
  <c r="AH14" i="8"/>
  <c r="AH13" i="8"/>
  <c r="AH12" i="8"/>
  <c r="AH11" i="8"/>
  <c r="AH10" i="8"/>
  <c r="AH9" i="8"/>
  <c r="AH8" i="8"/>
  <c r="AH7" i="8"/>
  <c r="Y67" i="8" l="1"/>
  <c r="Y80" i="8" s="1"/>
  <c r="Y83" i="8" s="1"/>
  <c r="T67" i="8"/>
  <c r="T80" i="8" s="1"/>
  <c r="T83" i="8" s="1"/>
  <c r="S67" i="8"/>
  <c r="S80" i="8" s="1"/>
  <c r="S83" i="8" s="1"/>
  <c r="AH79" i="8"/>
  <c r="AB80" i="8"/>
  <c r="J83" i="8"/>
  <c r="I80" i="8"/>
  <c r="K80" i="8"/>
  <c r="K83" i="8" s="1"/>
  <c r="Q80" i="8"/>
  <c r="Q83" i="8" s="1"/>
  <c r="AE80" i="8"/>
  <c r="AE83" i="8" s="1"/>
  <c r="AH28" i="8"/>
  <c r="D80" i="8"/>
  <c r="D83" i="8" s="1"/>
  <c r="C67" i="8"/>
  <c r="C80" i="8" s="1"/>
  <c r="C83" i="8" s="1"/>
  <c r="AF80" i="8"/>
  <c r="AD80" i="8"/>
  <c r="Z80" i="8"/>
  <c r="X80" i="8"/>
  <c r="X83" i="8" s="1"/>
  <c r="AA80" i="8"/>
  <c r="AA83" i="8" s="1"/>
  <c r="W80" i="8"/>
  <c r="O80" i="8"/>
  <c r="V80" i="8"/>
  <c r="P80" i="8"/>
  <c r="N80" i="8"/>
  <c r="F80" i="8"/>
  <c r="F83" i="8" s="1"/>
  <c r="L80" i="8"/>
  <c r="G80" i="8"/>
  <c r="G83" i="8" s="1"/>
  <c r="E80" i="8"/>
  <c r="E83" i="8" s="1"/>
  <c r="M80" i="8"/>
  <c r="AC80" i="8"/>
  <c r="AG80" i="8"/>
  <c r="AH23" i="8"/>
  <c r="AF52" i="7"/>
  <c r="AH67" i="8" l="1"/>
  <c r="AH80" i="8"/>
  <c r="AE52" i="7"/>
  <c r="AI90" i="7" l="1"/>
  <c r="AD52" i="7" l="1"/>
  <c r="AG76" i="7" l="1"/>
  <c r="AG79" i="7" s="1"/>
  <c r="AE84" i="7" l="1"/>
  <c r="AF53" i="7" l="1"/>
  <c r="AC52" i="7"/>
  <c r="AC54" i="7" s="1"/>
  <c r="AB52" i="7" l="1"/>
  <c r="AB24" i="7"/>
  <c r="AB40" i="7" l="1"/>
  <c r="AB54" i="7" s="1"/>
  <c r="AF31" i="7" l="1"/>
  <c r="Y54" i="7" s="1"/>
  <c r="AF30" i="7"/>
  <c r="V54" i="7"/>
  <c r="X54" i="7"/>
  <c r="Z54" i="7"/>
  <c r="AA54" i="7"/>
  <c r="AD54" i="7"/>
  <c r="AE54" i="7"/>
  <c r="W22" i="7" l="1"/>
  <c r="W54" i="7" s="1"/>
  <c r="AF35" i="7" l="1"/>
  <c r="U25" i="7"/>
  <c r="U40" i="7" l="1"/>
  <c r="U54" i="7" s="1"/>
  <c r="N24" i="7" l="1"/>
  <c r="AF29" i="7"/>
  <c r="N46" i="7"/>
  <c r="N45" i="7"/>
  <c r="N43" i="7"/>
  <c r="G40" i="7" l="1"/>
  <c r="G51" i="7"/>
  <c r="G24" i="7"/>
  <c r="AF33" i="7" l="1"/>
  <c r="C42" i="7"/>
  <c r="AG67" i="7"/>
  <c r="AF67" i="7"/>
  <c r="AE67" i="7"/>
  <c r="AD67" i="7"/>
  <c r="AC67" i="7"/>
  <c r="AB67" i="7"/>
  <c r="AB68" i="7" s="1"/>
  <c r="AA67" i="7"/>
  <c r="Z67" i="7"/>
  <c r="Y67" i="7"/>
  <c r="X67" i="7"/>
  <c r="X68" i="7" s="1"/>
  <c r="X71" i="7" s="1"/>
  <c r="W67" i="7"/>
  <c r="V67" i="7"/>
  <c r="U67" i="7"/>
  <c r="T67" i="7"/>
  <c r="S67" i="7"/>
  <c r="R67" i="7"/>
  <c r="Q67" i="7"/>
  <c r="P67" i="7"/>
  <c r="O67" i="7"/>
  <c r="N67" i="7"/>
  <c r="M67" i="7"/>
  <c r="L67" i="7"/>
  <c r="L68" i="7" s="1"/>
  <c r="K67" i="7"/>
  <c r="I67" i="7"/>
  <c r="H67" i="7"/>
  <c r="G67" i="7"/>
  <c r="F67" i="7"/>
  <c r="E67" i="7"/>
  <c r="D67" i="7"/>
  <c r="C67" i="7"/>
  <c r="AH66" i="7"/>
  <c r="AH65" i="7"/>
  <c r="AH64" i="7"/>
  <c r="AH63" i="7"/>
  <c r="AH62" i="7"/>
  <c r="J67" i="7"/>
  <c r="AH60" i="7"/>
  <c r="AH59" i="7"/>
  <c r="AH58" i="7"/>
  <c r="AH57" i="7"/>
  <c r="AE68" i="7"/>
  <c r="AE71" i="7" s="1"/>
  <c r="AD68" i="7"/>
  <c r="AD71" i="7" s="1"/>
  <c r="AC68" i="7"/>
  <c r="AC71" i="7" s="1"/>
  <c r="Z68" i="7"/>
  <c r="W68" i="7"/>
  <c r="W71" i="7" s="1"/>
  <c r="V68" i="7"/>
  <c r="V71" i="7" s="1"/>
  <c r="T54" i="7"/>
  <c r="S54" i="7"/>
  <c r="P54" i="7"/>
  <c r="O54" i="7"/>
  <c r="M54" i="7"/>
  <c r="M68" i="7" s="1"/>
  <c r="K54" i="7"/>
  <c r="J54" i="7"/>
  <c r="I54" i="7"/>
  <c r="H54" i="7"/>
  <c r="H68" i="7" s="1"/>
  <c r="G54" i="7"/>
  <c r="F54" i="7"/>
  <c r="F68" i="7" s="1"/>
  <c r="E54" i="7"/>
  <c r="D54" i="7"/>
  <c r="D68" i="7" s="1"/>
  <c r="C54" i="7"/>
  <c r="AH52" i="7"/>
  <c r="AH51" i="7"/>
  <c r="U68" i="7"/>
  <c r="U71" i="7" s="1"/>
  <c r="AH49" i="7"/>
  <c r="AH48" i="7"/>
  <c r="AH47" i="7"/>
  <c r="AH42" i="7"/>
  <c r="AH35" i="7"/>
  <c r="AH32" i="7"/>
  <c r="AH31" i="7"/>
  <c r="AH28" i="7"/>
  <c r="AH27" i="7"/>
  <c r="AH26" i="7"/>
  <c r="AH25" i="7"/>
  <c r="AH24" i="7"/>
  <c r="N54" i="7"/>
  <c r="N68" i="7" s="1"/>
  <c r="AI23" i="7"/>
  <c r="AH23" i="7"/>
  <c r="AH22" i="7"/>
  <c r="AH21" i="7"/>
  <c r="AH20" i="7"/>
  <c r="AH19" i="7"/>
  <c r="AH17" i="7"/>
  <c r="AH16" i="7"/>
  <c r="AH15" i="7"/>
  <c r="AH14" i="7"/>
  <c r="AH13" i="7"/>
  <c r="AH12" i="7"/>
  <c r="AH11" i="7"/>
  <c r="AH10" i="7"/>
  <c r="R54" i="7"/>
  <c r="R68" i="7" s="1"/>
  <c r="R71" i="7" s="1"/>
  <c r="AH8" i="7"/>
  <c r="AH7" i="7"/>
  <c r="AG54" i="7" l="1"/>
  <c r="AG68" i="7" s="1"/>
  <c r="AF54" i="7"/>
  <c r="AF68" i="7" s="1"/>
  <c r="AF71" i="7" s="1"/>
  <c r="P68" i="7"/>
  <c r="T68" i="7"/>
  <c r="O68" i="7"/>
  <c r="S68" i="7"/>
  <c r="Y68" i="7"/>
  <c r="Y71" i="7" s="1"/>
  <c r="AA68" i="7"/>
  <c r="C68" i="7"/>
  <c r="E68" i="7"/>
  <c r="G68" i="7"/>
  <c r="I68" i="7"/>
  <c r="K68" i="7"/>
  <c r="J68" i="7"/>
  <c r="AH9" i="7"/>
  <c r="Q54" i="7"/>
  <c r="Q68" i="7" s="1"/>
  <c r="Q71" i="7" s="1"/>
  <c r="AH50" i="7"/>
  <c r="AH61" i="7"/>
  <c r="AH67" i="7" s="1"/>
  <c r="AE9" i="6"/>
  <c r="AH68" i="7" l="1"/>
  <c r="AH54" i="7"/>
  <c r="AH50" i="6"/>
  <c r="AH51" i="6"/>
  <c r="AH52" i="6"/>
  <c r="AH54" i="6"/>
  <c r="AH56" i="6"/>
  <c r="AH57" i="6"/>
  <c r="AH58" i="6"/>
  <c r="AB24" i="6" l="1"/>
  <c r="AA25" i="6"/>
  <c r="X17" i="6" l="1"/>
  <c r="U43" i="6" l="1"/>
  <c r="AB16" i="6" l="1"/>
  <c r="R9" i="6"/>
  <c r="Q24" i="6" l="1"/>
  <c r="N45" i="6" l="1"/>
  <c r="N24" i="6" l="1"/>
  <c r="N46" i="6" s="1"/>
  <c r="Q19" i="6" l="1"/>
  <c r="Q17" i="6"/>
  <c r="L9" i="6"/>
  <c r="J55" i="6" l="1"/>
  <c r="AH55" i="6" s="1"/>
  <c r="J53" i="6"/>
  <c r="AH53" i="6" s="1"/>
  <c r="U46" i="6" l="1"/>
  <c r="J46" i="6"/>
  <c r="C46" i="6"/>
  <c r="D46" i="6"/>
  <c r="E46" i="6"/>
  <c r="F46" i="6"/>
  <c r="G46" i="6"/>
  <c r="H46" i="6"/>
  <c r="I46" i="6"/>
  <c r="K46" i="6"/>
  <c r="M46" i="6"/>
  <c r="O46" i="6"/>
  <c r="P46" i="6"/>
  <c r="Q46" i="6"/>
  <c r="R46" i="6"/>
  <c r="S46" i="6"/>
  <c r="T46" i="6"/>
  <c r="V46" i="6"/>
  <c r="W46" i="6"/>
  <c r="X46" i="6"/>
  <c r="Y46" i="6"/>
  <c r="Z46" i="6"/>
  <c r="AA46" i="6"/>
  <c r="C59" i="6"/>
  <c r="AG59" i="6"/>
  <c r="AF59" i="6"/>
  <c r="AE59" i="6"/>
  <c r="AD59" i="6"/>
  <c r="AC59" i="6"/>
  <c r="AB59" i="6"/>
  <c r="AA59" i="6"/>
  <c r="Z59" i="6"/>
  <c r="Y59" i="6"/>
  <c r="X59" i="6"/>
  <c r="X60" i="6" s="1"/>
  <c r="W59" i="6"/>
  <c r="W60" i="6" s="1"/>
  <c r="V59" i="6"/>
  <c r="U59" i="6"/>
  <c r="T59" i="6"/>
  <c r="S59" i="6"/>
  <c r="R59" i="6"/>
  <c r="Q59" i="6"/>
  <c r="P59" i="6"/>
  <c r="O59" i="6"/>
  <c r="N59" i="6"/>
  <c r="M59" i="6"/>
  <c r="L59" i="6"/>
  <c r="L60" i="6" s="1"/>
  <c r="K59" i="6"/>
  <c r="J59" i="6"/>
  <c r="I59" i="6"/>
  <c r="H59" i="6"/>
  <c r="G59" i="6"/>
  <c r="F59" i="6"/>
  <c r="E59" i="6"/>
  <c r="D59" i="6"/>
  <c r="AH49" i="6"/>
  <c r="AG46" i="6"/>
  <c r="AF46" i="6"/>
  <c r="AE46" i="6"/>
  <c r="AD46" i="6"/>
  <c r="AC46" i="6"/>
  <c r="AA60" i="6"/>
  <c r="AA63" i="6" s="1"/>
  <c r="AH45" i="6"/>
  <c r="AH44" i="6"/>
  <c r="AH43" i="6"/>
  <c r="AH42" i="6"/>
  <c r="AH41" i="6"/>
  <c r="AH40" i="6"/>
  <c r="AH35" i="6"/>
  <c r="AH32" i="6"/>
  <c r="AH31" i="6"/>
  <c r="AH30" i="6"/>
  <c r="AH28" i="6"/>
  <c r="AH27" i="6"/>
  <c r="AH26" i="6"/>
  <c r="AH25" i="6"/>
  <c r="AB46" i="6"/>
  <c r="AI23" i="6"/>
  <c r="AH21" i="6"/>
  <c r="AH20" i="6"/>
  <c r="AH19" i="6"/>
  <c r="AH17" i="6"/>
  <c r="AH16" i="6"/>
  <c r="AH15" i="6"/>
  <c r="AH14" i="6"/>
  <c r="AH13" i="6"/>
  <c r="AH12" i="6"/>
  <c r="AH11" i="6"/>
  <c r="AH10" i="6"/>
  <c r="AH8" i="6"/>
  <c r="AH7" i="6"/>
  <c r="Y60" i="6" l="1"/>
  <c r="AC60" i="6"/>
  <c r="AE60" i="6"/>
  <c r="AG60" i="6"/>
  <c r="K60" i="6"/>
  <c r="T60" i="6"/>
  <c r="P60" i="6"/>
  <c r="O60" i="6"/>
  <c r="Q60" i="6"/>
  <c r="S60" i="6"/>
  <c r="F60" i="6"/>
  <c r="U60" i="6"/>
  <c r="I60" i="6"/>
  <c r="M60" i="6"/>
  <c r="H60" i="6"/>
  <c r="G60" i="6"/>
  <c r="R60" i="6"/>
  <c r="E60" i="6"/>
  <c r="C60" i="6"/>
  <c r="V60" i="6"/>
  <c r="AB60" i="6"/>
  <c r="N60" i="6"/>
  <c r="N63" i="6" s="1"/>
  <c r="J60" i="6"/>
  <c r="AD60" i="6"/>
  <c r="AF60" i="6"/>
  <c r="Z60" i="6"/>
  <c r="Z63" i="6" s="1"/>
  <c r="D60" i="6"/>
  <c r="AH9" i="6"/>
  <c r="AH22" i="6"/>
  <c r="AH23" i="6"/>
  <c r="AH24" i="6"/>
  <c r="AH59" i="6"/>
  <c r="AB24" i="5"/>
  <c r="AB56" i="5"/>
  <c r="AB55" i="5"/>
  <c r="AB54" i="5"/>
  <c r="AH60" i="6" l="1"/>
  <c r="AH46" i="6"/>
  <c r="X22" i="5"/>
  <c r="X57" i="5" l="1"/>
  <c r="X44" i="5"/>
  <c r="U42" i="5" l="1"/>
  <c r="R9" i="5" l="1"/>
  <c r="Q36" i="5" l="1"/>
  <c r="M43" i="5" l="1"/>
  <c r="J43" i="5" l="1"/>
  <c r="J23" i="5"/>
  <c r="G22" i="5" l="1"/>
  <c r="E24" i="5" l="1"/>
  <c r="C43" i="5" l="1"/>
  <c r="D48" i="5" l="1"/>
  <c r="C48" i="5"/>
  <c r="AG57" i="5" l="1"/>
  <c r="AF57" i="5"/>
  <c r="AE57" i="5"/>
  <c r="AD57" i="5"/>
  <c r="AC57" i="5"/>
  <c r="AB57" i="5"/>
  <c r="AA57" i="5"/>
  <c r="Z57" i="5"/>
  <c r="Y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AH56" i="5"/>
  <c r="AH55" i="5"/>
  <c r="AH54" i="5"/>
  <c r="AH53" i="5"/>
  <c r="AH51" i="5"/>
  <c r="AH50" i="5"/>
  <c r="AH48" i="5"/>
  <c r="AH47" i="5"/>
  <c r="AG44" i="5"/>
  <c r="AF44" i="5"/>
  <c r="AE44" i="5"/>
  <c r="AD44" i="5"/>
  <c r="AC44" i="5"/>
  <c r="AB44" i="5"/>
  <c r="AA44" i="5"/>
  <c r="Z44" i="5"/>
  <c r="Y44" i="5"/>
  <c r="W44" i="5"/>
  <c r="V44" i="5"/>
  <c r="U44" i="5"/>
  <c r="T44" i="5"/>
  <c r="S44" i="5"/>
  <c r="Q44" i="5"/>
  <c r="P44" i="5"/>
  <c r="O44" i="5"/>
  <c r="N44" i="5"/>
  <c r="N58" i="5" s="1"/>
  <c r="M44" i="5"/>
  <c r="L58" i="5"/>
  <c r="I44" i="5"/>
  <c r="H44" i="5"/>
  <c r="H58" i="5" s="1"/>
  <c r="G44" i="5"/>
  <c r="F44" i="5"/>
  <c r="F58" i="5" s="1"/>
  <c r="E44" i="5"/>
  <c r="D44" i="5"/>
  <c r="D58" i="5" s="1"/>
  <c r="K44" i="5"/>
  <c r="K58" i="5" s="1"/>
  <c r="J44" i="5"/>
  <c r="J58" i="5" s="1"/>
  <c r="AH42" i="5"/>
  <c r="C44" i="5"/>
  <c r="AH41" i="5"/>
  <c r="AH40" i="5"/>
  <c r="AH39" i="5"/>
  <c r="AH38" i="5"/>
  <c r="AH36" i="5"/>
  <c r="AH35" i="5"/>
  <c r="AH34" i="5"/>
  <c r="AH33" i="5"/>
  <c r="AH28" i="5"/>
  <c r="AH27" i="5"/>
  <c r="AH26" i="5"/>
  <c r="AH25" i="5"/>
  <c r="AH24" i="5"/>
  <c r="AI23" i="5"/>
  <c r="AH23" i="5"/>
  <c r="AH22" i="5"/>
  <c r="AH21" i="5"/>
  <c r="AH20" i="5"/>
  <c r="AH19" i="5"/>
  <c r="AH17" i="5"/>
  <c r="AH16" i="5"/>
  <c r="AH15" i="5"/>
  <c r="AH14" i="5"/>
  <c r="AH13" i="5"/>
  <c r="AH12" i="5"/>
  <c r="AH11" i="5"/>
  <c r="AH10" i="5"/>
  <c r="AH9" i="5"/>
  <c r="AH8" i="5"/>
  <c r="AH7" i="5"/>
  <c r="P58" i="5" l="1"/>
  <c r="T58" i="5"/>
  <c r="V58" i="5"/>
  <c r="X58" i="5"/>
  <c r="Z58" i="5"/>
  <c r="AB58" i="5"/>
  <c r="AD58" i="5"/>
  <c r="AF58" i="5"/>
  <c r="AC58" i="5"/>
  <c r="AE58" i="5"/>
  <c r="AG58" i="5"/>
  <c r="AH57" i="5"/>
  <c r="E58" i="5"/>
  <c r="G58" i="5"/>
  <c r="O58" i="5"/>
  <c r="I58" i="5"/>
  <c r="M58" i="5"/>
  <c r="Q58" i="5"/>
  <c r="C58" i="5"/>
  <c r="S58" i="5"/>
  <c r="U58" i="5"/>
  <c r="W58" i="5"/>
  <c r="AA58" i="5"/>
  <c r="Y58" i="5"/>
  <c r="AH43" i="5"/>
  <c r="AH44" i="5" s="1"/>
  <c r="R44" i="5"/>
  <c r="R58" i="5" s="1"/>
  <c r="R24" i="4"/>
  <c r="R42" i="4" s="1"/>
  <c r="AH58" i="5" l="1"/>
  <c r="AH19" i="4"/>
  <c r="L16" i="4" l="1"/>
  <c r="K41" i="4" l="1"/>
  <c r="J41" i="4" l="1"/>
  <c r="J23" i="4" l="1"/>
  <c r="J22" i="4"/>
  <c r="J35" i="4"/>
  <c r="C40" i="4" l="1"/>
  <c r="C41" i="4" l="1"/>
  <c r="C45" i="4" l="1"/>
  <c r="AH42" i="3" l="1"/>
  <c r="AE34" i="3"/>
  <c r="AE33" i="3"/>
  <c r="J65" i="4" l="1"/>
  <c r="J63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K55" i="4"/>
  <c r="J55" i="4"/>
  <c r="I55" i="4"/>
  <c r="H55" i="4"/>
  <c r="G55" i="4"/>
  <c r="F55" i="4"/>
  <c r="E55" i="4"/>
  <c r="D55" i="4"/>
  <c r="C55" i="4"/>
  <c r="AH54" i="4"/>
  <c r="AH53" i="4"/>
  <c r="AH52" i="4"/>
  <c r="AH51" i="4"/>
  <c r="AH49" i="4"/>
  <c r="AH48" i="4"/>
  <c r="AH47" i="4"/>
  <c r="L55" i="4"/>
  <c r="AH45" i="4"/>
  <c r="AG42" i="4"/>
  <c r="AE42" i="4"/>
  <c r="AE56" i="4" s="1"/>
  <c r="AC42" i="4"/>
  <c r="AB42" i="4"/>
  <c r="AA42" i="4"/>
  <c r="Z42" i="4"/>
  <c r="Z56" i="4" s="1"/>
  <c r="Y42" i="4"/>
  <c r="X42" i="4"/>
  <c r="X56" i="4" s="1"/>
  <c r="W42" i="4"/>
  <c r="V42" i="4"/>
  <c r="V56" i="4" s="1"/>
  <c r="U42" i="4"/>
  <c r="T42" i="4"/>
  <c r="S42" i="4"/>
  <c r="Q42" i="4"/>
  <c r="O42" i="4"/>
  <c r="N42" i="4"/>
  <c r="N56" i="4" s="1"/>
  <c r="M42" i="4"/>
  <c r="K42" i="4"/>
  <c r="K56" i="4" s="1"/>
  <c r="J42" i="4"/>
  <c r="I42" i="4"/>
  <c r="I56" i="4" s="1"/>
  <c r="I59" i="4" s="1"/>
  <c r="H42" i="4"/>
  <c r="G42" i="4"/>
  <c r="G56" i="4" s="1"/>
  <c r="F42" i="4"/>
  <c r="C42" i="4"/>
  <c r="C56" i="4" s="1"/>
  <c r="P42" i="4"/>
  <c r="P56" i="4" s="1"/>
  <c r="AH40" i="4"/>
  <c r="L42" i="4"/>
  <c r="AH38" i="4"/>
  <c r="AH37" i="4"/>
  <c r="AH36" i="4"/>
  <c r="AH35" i="4"/>
  <c r="AH34" i="4"/>
  <c r="AH33" i="4"/>
  <c r="AH32" i="4"/>
  <c r="AH28" i="4"/>
  <c r="AH27" i="4"/>
  <c r="AH26" i="4"/>
  <c r="AH25" i="4"/>
  <c r="AH24" i="4"/>
  <c r="AI23" i="4"/>
  <c r="AH23" i="4"/>
  <c r="AF42" i="4"/>
  <c r="AF56" i="4" s="1"/>
  <c r="AH22" i="4"/>
  <c r="D42" i="4"/>
  <c r="AH20" i="4"/>
  <c r="AH17" i="4"/>
  <c r="AH16" i="4"/>
  <c r="AH15" i="4"/>
  <c r="AH14" i="4"/>
  <c r="AH13" i="4"/>
  <c r="AH12" i="4"/>
  <c r="AH11" i="4"/>
  <c r="AH10" i="4"/>
  <c r="AD42" i="4"/>
  <c r="AD56" i="4" s="1"/>
  <c r="AH8" i="4"/>
  <c r="AH7" i="4"/>
  <c r="F56" i="4" l="1"/>
  <c r="H56" i="4"/>
  <c r="J56" i="4"/>
  <c r="M56" i="4"/>
  <c r="O56" i="4"/>
  <c r="AB56" i="4"/>
  <c r="T56" i="4"/>
  <c r="R56" i="4"/>
  <c r="AH55" i="4"/>
  <c r="D56" i="4"/>
  <c r="Q56" i="4"/>
  <c r="S56" i="4"/>
  <c r="U56" i="4"/>
  <c r="W56" i="4"/>
  <c r="Y56" i="4"/>
  <c r="AA56" i="4"/>
  <c r="AC56" i="4"/>
  <c r="AG56" i="4"/>
  <c r="L56" i="4"/>
  <c r="E42" i="4"/>
  <c r="E56" i="4" s="1"/>
  <c r="AH9" i="4"/>
  <c r="AH21" i="4"/>
  <c r="AH39" i="4"/>
  <c r="AH41" i="4"/>
  <c r="AE24" i="3"/>
  <c r="AH42" i="4" l="1"/>
  <c r="AH56" i="4"/>
  <c r="AD26" i="3"/>
  <c r="AI23" i="3" l="1"/>
  <c r="AD9" i="3" l="1"/>
  <c r="AD49" i="3" l="1"/>
  <c r="AD25" i="3"/>
  <c r="AF23" i="3" l="1"/>
  <c r="AD24" i="3"/>
  <c r="AD35" i="3" s="1"/>
  <c r="W45" i="3" l="1"/>
  <c r="W32" i="3"/>
  <c r="P34" i="3" l="1"/>
  <c r="L39" i="3" l="1"/>
  <c r="I49" i="3" l="1"/>
  <c r="I35" i="3"/>
  <c r="F35" i="3" l="1"/>
  <c r="E32" i="3" l="1"/>
  <c r="D20" i="3"/>
  <c r="D33" i="3" l="1"/>
  <c r="J59" i="3" l="1"/>
  <c r="J57" i="3"/>
  <c r="AG49" i="3"/>
  <c r="AF49" i="3"/>
  <c r="AE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L49" i="3"/>
  <c r="J49" i="3"/>
  <c r="H49" i="3"/>
  <c r="G49" i="3"/>
  <c r="F49" i="3"/>
  <c r="E49" i="3"/>
  <c r="D49" i="3"/>
  <c r="C49" i="3"/>
  <c r="AH48" i="3"/>
  <c r="AH47" i="3"/>
  <c r="AH46" i="3"/>
  <c r="AH45" i="3"/>
  <c r="AH43" i="3"/>
  <c r="M49" i="3"/>
  <c r="K49" i="3"/>
  <c r="AH38" i="3"/>
  <c r="AG35" i="3"/>
  <c r="AE35" i="3"/>
  <c r="AB35" i="3"/>
  <c r="AA35" i="3"/>
  <c r="Y35" i="3"/>
  <c r="X35" i="3"/>
  <c r="W35" i="3"/>
  <c r="V35" i="3"/>
  <c r="U35" i="3"/>
  <c r="T35" i="3"/>
  <c r="S35" i="3"/>
  <c r="Q35" i="3"/>
  <c r="P35" i="3"/>
  <c r="M35" i="3"/>
  <c r="J35" i="3"/>
  <c r="G35" i="3"/>
  <c r="C35" i="3"/>
  <c r="AC35" i="3"/>
  <c r="AH34" i="3"/>
  <c r="AH33" i="3"/>
  <c r="AH32" i="3"/>
  <c r="AH31" i="3"/>
  <c r="D35" i="3"/>
  <c r="AH30" i="3"/>
  <c r="AH29" i="3"/>
  <c r="AH28" i="3"/>
  <c r="AH27" i="3"/>
  <c r="AF35" i="3"/>
  <c r="AH24" i="3"/>
  <c r="AH23" i="3"/>
  <c r="AH22" i="3"/>
  <c r="AH20" i="3"/>
  <c r="AH19" i="3"/>
  <c r="E35" i="3"/>
  <c r="O35" i="3"/>
  <c r="L35" i="3"/>
  <c r="AH16" i="3"/>
  <c r="AH15" i="3"/>
  <c r="AH14" i="3"/>
  <c r="AH13" i="3"/>
  <c r="AH12" i="3"/>
  <c r="AH11" i="3"/>
  <c r="AH10" i="3"/>
  <c r="Z35" i="3"/>
  <c r="H35" i="3"/>
  <c r="R35" i="3"/>
  <c r="N35" i="3"/>
  <c r="N50" i="3" s="1"/>
  <c r="AH7" i="3"/>
  <c r="AF36" i="2"/>
  <c r="AF50" i="3" l="1"/>
  <c r="H50" i="3"/>
  <c r="D50" i="3"/>
  <c r="D53" i="3" s="1"/>
  <c r="R50" i="3"/>
  <c r="Z50" i="3"/>
  <c r="E50" i="3"/>
  <c r="E53" i="3" s="1"/>
  <c r="AC50" i="3"/>
  <c r="AA50" i="3"/>
  <c r="AG50" i="3"/>
  <c r="Q50" i="3"/>
  <c r="Q53" i="3" s="1"/>
  <c r="L50" i="3"/>
  <c r="I50" i="3"/>
  <c r="I53" i="3" s="1"/>
  <c r="O50" i="3"/>
  <c r="C50" i="3"/>
  <c r="C53" i="3" s="1"/>
  <c r="G50" i="3"/>
  <c r="S50" i="3"/>
  <c r="U50" i="3"/>
  <c r="W50" i="3"/>
  <c r="Y50" i="3"/>
  <c r="AE50" i="3"/>
  <c r="F50" i="3"/>
  <c r="F53" i="3" s="1"/>
  <c r="J50" i="3"/>
  <c r="P50" i="3"/>
  <c r="T50" i="3"/>
  <c r="V50" i="3"/>
  <c r="X50" i="3"/>
  <c r="AB50" i="3"/>
  <c r="AD50" i="3"/>
  <c r="AD54" i="3" s="1"/>
  <c r="M50" i="3"/>
  <c r="M53" i="3" s="1"/>
  <c r="AH18" i="3"/>
  <c r="K35" i="3"/>
  <c r="K50" i="3" s="1"/>
  <c r="AH8" i="3"/>
  <c r="AH9" i="3"/>
  <c r="AH17" i="3"/>
  <c r="AH39" i="3"/>
  <c r="AH49" i="3" s="1"/>
  <c r="AF23" i="2"/>
  <c r="AC37" i="2"/>
  <c r="Z36" i="2"/>
  <c r="AH50" i="3" l="1"/>
  <c r="AH35" i="3"/>
  <c r="Z23" i="2"/>
  <c r="Z9" i="2" l="1"/>
  <c r="V44" i="2" l="1"/>
  <c r="R37" i="2" l="1"/>
  <c r="R7" i="2"/>
  <c r="O17" i="2"/>
  <c r="N7" i="2" l="1"/>
  <c r="N38" i="2" s="1"/>
  <c r="M22" i="2"/>
  <c r="M42" i="2"/>
  <c r="L17" i="2" l="1"/>
  <c r="K37" i="2" l="1"/>
  <c r="K7" i="2"/>
  <c r="K42" i="2"/>
  <c r="H21" i="2" l="1"/>
  <c r="H50" i="2" l="1"/>
  <c r="H18" i="2"/>
  <c r="H8" i="2"/>
  <c r="H38" i="2" l="1"/>
  <c r="G36" i="2"/>
  <c r="E18" i="2" l="1"/>
  <c r="E36" i="2" l="1"/>
  <c r="AH36" i="2" s="1"/>
  <c r="E27" i="2"/>
  <c r="D37" i="2"/>
  <c r="D28" i="2"/>
  <c r="J60" i="2"/>
  <c r="J58" i="2"/>
  <c r="AG50" i="2"/>
  <c r="AF50" i="2"/>
  <c r="AE50" i="2"/>
  <c r="AD50" i="2"/>
  <c r="AC50" i="2"/>
  <c r="AB50" i="2"/>
  <c r="AA50" i="2"/>
  <c r="Z50" i="2"/>
  <c r="W50" i="2"/>
  <c r="V50" i="2"/>
  <c r="T50" i="2"/>
  <c r="S50" i="2"/>
  <c r="R50" i="2"/>
  <c r="P50" i="2"/>
  <c r="O50" i="2"/>
  <c r="M50" i="2"/>
  <c r="L50" i="2"/>
  <c r="F50" i="2"/>
  <c r="E50" i="2"/>
  <c r="AH49" i="2"/>
  <c r="Y50" i="2"/>
  <c r="N50" i="2"/>
  <c r="AH48" i="2"/>
  <c r="AH47" i="2"/>
  <c r="Q50" i="2"/>
  <c r="K50" i="2"/>
  <c r="I50" i="2"/>
  <c r="AH46" i="2"/>
  <c r="G50" i="2"/>
  <c r="AH44" i="2"/>
  <c r="AH43" i="2"/>
  <c r="X50" i="2"/>
  <c r="U50" i="2"/>
  <c r="J50" i="2"/>
  <c r="D50" i="2"/>
  <c r="AH42" i="2"/>
  <c r="AH41" i="2"/>
  <c r="AG38" i="2"/>
  <c r="AF38" i="2"/>
  <c r="AE38" i="2"/>
  <c r="AD38" i="2"/>
  <c r="AA38" i="2"/>
  <c r="Z38" i="2"/>
  <c r="Y38" i="2"/>
  <c r="X38" i="2"/>
  <c r="T38" i="2"/>
  <c r="S38" i="2"/>
  <c r="R38" i="2"/>
  <c r="Q38" i="2"/>
  <c r="Q51" i="2" s="1"/>
  <c r="O38" i="2"/>
  <c r="M38" i="2"/>
  <c r="L38" i="2"/>
  <c r="F38" i="2"/>
  <c r="N51" i="2"/>
  <c r="N54" i="2" s="1"/>
  <c r="U38" i="2"/>
  <c r="U51" i="2" s="1"/>
  <c r="U54" i="2" s="1"/>
  <c r="AH35" i="2"/>
  <c r="AH34" i="2"/>
  <c r="AH33" i="2"/>
  <c r="AH32" i="2"/>
  <c r="AB38" i="2"/>
  <c r="C38" i="2"/>
  <c r="AH29" i="2"/>
  <c r="I38" i="2"/>
  <c r="AH27" i="2"/>
  <c r="AH26" i="2"/>
  <c r="AH25" i="2"/>
  <c r="AH24" i="2"/>
  <c r="AC38" i="2"/>
  <c r="AH23" i="2"/>
  <c r="W38" i="2"/>
  <c r="K38" i="2"/>
  <c r="K51" i="2" s="1"/>
  <c r="AH21" i="2"/>
  <c r="J38" i="2"/>
  <c r="J51" i="2" s="1"/>
  <c r="AH20" i="2"/>
  <c r="AH19" i="2"/>
  <c r="AH18" i="2"/>
  <c r="AH17" i="2"/>
  <c r="AH16" i="2"/>
  <c r="AH15" i="2"/>
  <c r="AH14" i="2"/>
  <c r="AH13" i="2"/>
  <c r="AH12" i="2"/>
  <c r="AH11" i="2"/>
  <c r="P38" i="2"/>
  <c r="AH10" i="2"/>
  <c r="V38" i="2"/>
  <c r="G38" i="2"/>
  <c r="AH7" i="2"/>
  <c r="AC28" i="1"/>
  <c r="AC23" i="1"/>
  <c r="W51" i="2" l="1"/>
  <c r="AC51" i="2"/>
  <c r="Y51" i="2"/>
  <c r="Y54" i="2" s="1"/>
  <c r="AB51" i="2"/>
  <c r="AB54" i="2" s="1"/>
  <c r="X51" i="2"/>
  <c r="Z51" i="2"/>
  <c r="Z54" i="2" s="1"/>
  <c r="V51" i="2"/>
  <c r="V54" i="2" s="1"/>
  <c r="I51" i="2"/>
  <c r="O51" i="2"/>
  <c r="O54" i="2" s="1"/>
  <c r="R51" i="2"/>
  <c r="R54" i="2" s="1"/>
  <c r="T51" i="2"/>
  <c r="T54" i="2" s="1"/>
  <c r="AA51" i="2"/>
  <c r="AA54" i="2" s="1"/>
  <c r="AE51" i="2"/>
  <c r="AG51" i="2"/>
  <c r="P51" i="2"/>
  <c r="S51" i="2"/>
  <c r="AD51" i="2"/>
  <c r="AF51" i="2"/>
  <c r="AF54" i="2" s="1"/>
  <c r="E38" i="2"/>
  <c r="M51" i="2"/>
  <c r="L51" i="2"/>
  <c r="H51" i="2"/>
  <c r="H54" i="2" s="1"/>
  <c r="G51" i="2"/>
  <c r="G54" i="2" s="1"/>
  <c r="F51" i="2"/>
  <c r="F54" i="2" s="1"/>
  <c r="E51" i="2"/>
  <c r="E54" i="2" s="1"/>
  <c r="D38" i="2"/>
  <c r="D51" i="2" s="1"/>
  <c r="D54" i="2" s="1"/>
  <c r="AH50" i="2"/>
  <c r="AH8" i="2"/>
  <c r="AH9" i="2"/>
  <c r="AH22" i="2"/>
  <c r="AH28" i="2"/>
  <c r="AH30" i="2"/>
  <c r="AH31" i="2"/>
  <c r="C50" i="2"/>
  <c r="C51" i="2" s="1"/>
  <c r="AH37" i="2"/>
  <c r="AB37" i="1"/>
  <c r="AH51" i="2" l="1"/>
  <c r="AH38" i="2"/>
  <c r="AB50" i="1"/>
  <c r="AB30" i="1"/>
  <c r="X46" i="1" l="1"/>
  <c r="Y48" i="1" l="1"/>
  <c r="X42" i="1" l="1"/>
  <c r="X50" i="1" s="1"/>
  <c r="W50" i="1" l="1"/>
  <c r="V36" i="1"/>
  <c r="V9" i="1"/>
  <c r="V23" i="1" l="1"/>
  <c r="W22" i="1" l="1"/>
  <c r="W38" i="1" s="1"/>
  <c r="U36" i="1" l="1"/>
  <c r="U42" i="1"/>
  <c r="Q46" i="1" l="1"/>
  <c r="N48" i="1" l="1"/>
  <c r="N50" i="1" s="1"/>
  <c r="N37" i="1"/>
  <c r="N38" i="1" s="1"/>
  <c r="P11" i="1"/>
  <c r="K46" i="1"/>
  <c r="K22" i="1"/>
  <c r="J36" i="1" l="1"/>
  <c r="J35" i="1"/>
  <c r="J60" i="1"/>
  <c r="J58" i="1"/>
  <c r="H49" i="1" l="1"/>
  <c r="I48" i="1"/>
  <c r="H48" i="1"/>
  <c r="H47" i="1"/>
  <c r="I46" i="1"/>
  <c r="H46" i="1"/>
  <c r="G46" i="1"/>
  <c r="G44" i="1"/>
  <c r="J42" i="1"/>
  <c r="H42" i="1"/>
  <c r="H35" i="1"/>
  <c r="I31" i="1"/>
  <c r="H31" i="1"/>
  <c r="I28" i="1"/>
  <c r="J21" i="1"/>
  <c r="G20" i="1"/>
  <c r="G8" i="1"/>
  <c r="D31" i="1" l="1"/>
  <c r="D48" i="1"/>
  <c r="D46" i="1"/>
  <c r="D42" i="1"/>
  <c r="C48" i="1"/>
  <c r="C46" i="1"/>
  <c r="C44" i="1"/>
  <c r="C42" i="1"/>
  <c r="C30" i="1"/>
  <c r="J38" i="1" l="1"/>
  <c r="I38" i="1"/>
  <c r="D38" i="1"/>
  <c r="F38" i="1"/>
  <c r="AH23" i="1"/>
  <c r="P38" i="1"/>
  <c r="AA38" i="1"/>
  <c r="AH35" i="1"/>
  <c r="Z38" i="1"/>
  <c r="C38" i="1"/>
  <c r="E38" i="1"/>
  <c r="G38" i="1"/>
  <c r="H38" i="1"/>
  <c r="K38" i="1"/>
  <c r="L38" i="1"/>
  <c r="M38" i="1"/>
  <c r="O38" i="1"/>
  <c r="Q38" i="1"/>
  <c r="R38" i="1"/>
  <c r="S38" i="1"/>
  <c r="T38" i="1"/>
  <c r="U38" i="1"/>
  <c r="V38" i="1"/>
  <c r="X38" i="1"/>
  <c r="Y38" i="1"/>
  <c r="AB38" i="1"/>
  <c r="AG38" i="1"/>
  <c r="AF38" i="1"/>
  <c r="AE38" i="1"/>
  <c r="AD38" i="1"/>
  <c r="AC38" i="1"/>
  <c r="AH36" i="1"/>
  <c r="AH34" i="1" l="1"/>
  <c r="D5" i="1" l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F50" i="1" l="1"/>
  <c r="AF51" i="1" s="1"/>
  <c r="AE50" i="1"/>
  <c r="AB51" i="1"/>
  <c r="AB54" i="1" s="1"/>
  <c r="Y50" i="1"/>
  <c r="X51" i="1"/>
  <c r="X54" i="1" s="1"/>
  <c r="W51" i="1"/>
  <c r="W54" i="1" s="1"/>
  <c r="V50" i="1"/>
  <c r="V51" i="1" s="1"/>
  <c r="V54" i="1" s="1"/>
  <c r="S50" i="1"/>
  <c r="R50" i="1"/>
  <c r="R51" i="1" s="1"/>
  <c r="R54" i="1" s="1"/>
  <c r="Q50" i="1"/>
  <c r="Q51" i="1" s="1"/>
  <c r="Q54" i="1" s="1"/>
  <c r="P50" i="1"/>
  <c r="P51" i="1" s="1"/>
  <c r="P54" i="1" s="1"/>
  <c r="K50" i="1"/>
  <c r="J50" i="1"/>
  <c r="J51" i="1" s="1"/>
  <c r="J54" i="1" s="1"/>
  <c r="D50" i="1"/>
  <c r="C50" i="1"/>
  <c r="C51" i="1" s="1"/>
  <c r="AH49" i="1"/>
  <c r="H50" i="1"/>
  <c r="H51" i="1" s="1"/>
  <c r="AH47" i="1"/>
  <c r="AH44" i="1"/>
  <c r="AH43" i="1"/>
  <c r="AC50" i="1"/>
  <c r="AC51" i="1" s="1"/>
  <c r="T50" i="1"/>
  <c r="AH42" i="1"/>
  <c r="M50" i="1"/>
  <c r="L50" i="1"/>
  <c r="AE51" i="1"/>
  <c r="AH37" i="1"/>
  <c r="AH33" i="1"/>
  <c r="AH32" i="1"/>
  <c r="AH31" i="1"/>
  <c r="AH30" i="1"/>
  <c r="AH29" i="1"/>
  <c r="AH26" i="1"/>
  <c r="AH25" i="1"/>
  <c r="AH24" i="1"/>
  <c r="AH19" i="1"/>
  <c r="AH15" i="1"/>
  <c r="AH14" i="1"/>
  <c r="AH13" i="1"/>
  <c r="AH12" i="1"/>
  <c r="AH11" i="1"/>
  <c r="AH10" i="1"/>
  <c r="AH8" i="1"/>
  <c r="K51" i="1" l="1"/>
  <c r="K54" i="1" s="1"/>
  <c r="S51" i="1"/>
  <c r="L51" i="1"/>
  <c r="M51" i="1"/>
  <c r="U50" i="1"/>
  <c r="U51" i="1" s="1"/>
  <c r="U54" i="1" s="1"/>
  <c r="F50" i="1"/>
  <c r="F51" i="1" s="1"/>
  <c r="T51" i="1"/>
  <c r="AH21" i="1"/>
  <c r="D51" i="1"/>
  <c r="I50" i="1"/>
  <c r="I51" i="1" s="1"/>
  <c r="O50" i="1"/>
  <c r="Z50" i="1"/>
  <c r="Z51" i="1" s="1"/>
  <c r="AG50" i="1"/>
  <c r="AG51" i="1" s="1"/>
  <c r="AA50" i="1"/>
  <c r="AA51" i="1" s="1"/>
  <c r="AH48" i="1"/>
  <c r="AH20" i="1"/>
  <c r="AH41" i="1"/>
  <c r="AD50" i="1"/>
  <c r="AD51" i="1" s="1"/>
  <c r="AH7" i="1"/>
  <c r="AH9" i="1"/>
  <c r="AH17" i="1"/>
  <c r="AH18" i="1"/>
  <c r="AH22" i="1"/>
  <c r="AH27" i="1"/>
  <c r="AH28" i="1"/>
  <c r="Y51" i="1"/>
  <c r="Y54" i="1" s="1"/>
  <c r="N51" i="1"/>
  <c r="N54" i="1" s="1"/>
  <c r="AH46" i="1"/>
  <c r="G50" i="1"/>
  <c r="G51" i="1" s="1"/>
  <c r="AH16" i="1"/>
  <c r="E50" i="1"/>
  <c r="E51" i="1" s="1"/>
  <c r="AH50" i="1" l="1"/>
  <c r="O51" i="1"/>
  <c r="AH38" i="1"/>
  <c r="AH51" i="1" l="1"/>
  <c r="O54" i="1"/>
  <c r="T102" i="18"/>
  <c r="T111" i="19"/>
  <c r="T98" i="16"/>
</calcChain>
</file>

<file path=xl/comments1.xml><?xml version="1.0" encoding="utf-8"?>
<comments xmlns="http://schemas.openxmlformats.org/spreadsheetml/2006/main">
  <authors>
    <author>300</author>
  </authors>
  <commentList>
    <comment ref="O8" authorId="0">
      <text>
        <r>
          <rPr>
            <b/>
            <sz val="9"/>
            <color indexed="81"/>
            <rFont val="Tahoma"/>
            <family val="2"/>
          </rPr>
          <t>SGI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-KLAIM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BG MNP + BG EIT</t>
        </r>
      </text>
    </comment>
    <comment ref="N36" authorId="0">
      <text>
        <r>
          <rPr>
            <b/>
            <sz val="9"/>
            <color indexed="81"/>
            <rFont val="Tahoma"/>
            <family val="2"/>
          </rPr>
          <t xml:space="preserve">PINDAH DANA </t>
        </r>
      </text>
    </comment>
    <comment ref="Q36" authorId="0">
      <text>
        <r>
          <rPr>
            <b/>
            <sz val="9"/>
            <color indexed="81"/>
            <rFont val="Tahoma"/>
            <family val="2"/>
          </rPr>
          <t>BUNGA FBI OKT '20</t>
        </r>
      </text>
    </comment>
    <comment ref="U36" authorId="0">
      <text>
        <r>
          <rPr>
            <b/>
            <sz val="9"/>
            <color indexed="81"/>
            <rFont val="Tahoma"/>
            <family val="2"/>
          </rPr>
          <t>ulang bulan w4 hsbc + ULANG BULAN BCA</t>
        </r>
      </text>
    </comment>
    <comment ref="W36" authorId="0">
      <text>
        <r>
          <rPr>
            <b/>
            <sz val="9"/>
            <color indexed="81"/>
            <rFont val="Tahoma"/>
            <family val="2"/>
          </rPr>
          <t>PINDAH DANA BCA OPR UTK GAJI</t>
        </r>
      </text>
    </comment>
    <comment ref="X36" authorId="0">
      <text>
        <r>
          <rPr>
            <b/>
            <sz val="9"/>
            <color indexed="81"/>
            <rFont val="Tahoma"/>
            <family val="2"/>
          </rPr>
          <t>PINDAH DANA</t>
        </r>
      </text>
    </comment>
    <comment ref="Y36" authorId="0">
      <text>
        <r>
          <rPr>
            <b/>
            <sz val="9"/>
            <color indexed="81"/>
            <rFont val="Tahoma"/>
            <family val="2"/>
          </rPr>
          <t>BG MBR</t>
        </r>
      </text>
    </comment>
    <comment ref="AB36" authorId="0">
      <text>
        <r>
          <rPr>
            <b/>
            <sz val="9"/>
            <color indexed="81"/>
            <rFont val="Tahoma"/>
            <family val="2"/>
          </rPr>
          <t>PINDAH DANA</t>
        </r>
      </text>
    </comment>
    <comment ref="N37" authorId="0">
      <text>
        <r>
          <rPr>
            <b/>
            <sz val="9"/>
            <color indexed="81"/>
            <rFont val="Tahoma"/>
            <family val="2"/>
          </rPr>
          <t>BUNGA ULANG BULAN BCA + BUNGA ULANG BULAN HSBC</t>
        </r>
      </text>
    </comment>
    <comment ref="W37" authorId="0">
      <text>
        <r>
          <rPr>
            <b/>
            <sz val="9"/>
            <color indexed="81"/>
            <rFont val="Tahoma"/>
            <family val="2"/>
          </rPr>
          <t>BY FASILITAS BCA</t>
        </r>
      </text>
    </comment>
    <comment ref="AB37" authorId="0">
      <text>
        <r>
          <rPr>
            <b/>
            <sz val="9"/>
            <color indexed="81"/>
            <rFont val="Tahoma"/>
            <family val="2"/>
          </rPr>
          <t>BUNGA ULANG BULAN W5 OKT BCA + HSBC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-KLAIM</t>
        </r>
      </text>
    </comment>
  </commentList>
</comments>
</file>

<file path=xl/comments2.xml><?xml version="1.0" encoding="utf-8"?>
<comments xmlns="http://schemas.openxmlformats.org/spreadsheetml/2006/main">
  <authors>
    <author>300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CBD W 1 NOV JT 5 NOV</t>
        </r>
      </text>
    </comment>
    <comment ref="K17" authorId="0">
      <text>
        <r>
          <rPr>
            <b/>
            <sz val="9"/>
            <color indexed="81"/>
            <rFont val="Tahoma"/>
            <family val="2"/>
          </rPr>
          <t>PENDING</t>
        </r>
      </text>
    </comment>
    <comment ref="L17" authorId="0">
      <text>
        <r>
          <rPr>
            <b/>
            <sz val="9"/>
            <color indexed="81"/>
            <rFont val="Tahoma"/>
            <family val="2"/>
          </rPr>
          <t>PENDING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PENDING</t>
        </r>
      </text>
    </comment>
    <comment ref="D36" authorId="0">
      <text>
        <r>
          <rPr>
            <b/>
            <sz val="9"/>
            <color indexed="81"/>
            <rFont val="Tahoma"/>
            <family val="2"/>
          </rPr>
          <t xml:space="preserve">PINDAH DANA </t>
        </r>
      </text>
    </comment>
    <comment ref="F36" authorId="0">
      <text>
        <r>
          <rPr>
            <b/>
            <sz val="9"/>
            <color indexed="81"/>
            <rFont val="Tahoma"/>
            <family val="2"/>
          </rPr>
          <t xml:space="preserve">pindah dana </t>
        </r>
      </text>
    </comment>
    <comment ref="G36" authorId="0">
      <text>
        <r>
          <rPr>
            <b/>
            <sz val="9"/>
            <color indexed="81"/>
            <rFont val="Tahoma"/>
            <family val="2"/>
          </rPr>
          <t xml:space="preserve">BUNGA DIFI MIN + BUNGA DIFI YIJG OKT </t>
        </r>
      </text>
    </comment>
    <comment ref="K36" authorId="0">
      <text>
        <r>
          <rPr>
            <b/>
            <sz val="9"/>
            <color indexed="81"/>
            <rFont val="Tahoma"/>
            <family val="2"/>
          </rPr>
          <t>CICIL DISTR COST FEB '20</t>
        </r>
      </text>
    </comment>
    <comment ref="M36" authorId="0">
      <text>
        <r>
          <rPr>
            <b/>
            <sz val="9"/>
            <color indexed="81"/>
            <rFont val="Tahoma"/>
            <family val="2"/>
          </rPr>
          <t xml:space="preserve">BUNGA DIFI FBI 
</t>
        </r>
      </text>
    </comment>
    <comment ref="R36" authorId="0">
      <text>
        <r>
          <rPr>
            <b/>
            <sz val="9"/>
            <color indexed="81"/>
            <rFont val="Tahoma"/>
            <family val="2"/>
          </rPr>
          <t>PINDAH DANA</t>
        </r>
      </text>
    </comment>
    <comment ref="V36" authorId="0">
      <text>
        <r>
          <rPr>
            <b/>
            <sz val="9"/>
            <color indexed="81"/>
            <rFont val="Tahoma"/>
            <family val="2"/>
          </rPr>
          <t>MPP</t>
        </r>
      </text>
    </comment>
    <comment ref="Y36" authorId="0">
      <text>
        <r>
          <rPr>
            <b/>
            <sz val="9"/>
            <color indexed="81"/>
            <rFont val="Tahoma"/>
            <family val="2"/>
          </rPr>
          <t xml:space="preserve">PINDAH DANA </t>
        </r>
      </text>
    </comment>
    <comment ref="Z36" authorId="0">
      <text>
        <r>
          <rPr>
            <b/>
            <sz val="9"/>
            <color indexed="81"/>
            <rFont val="Tahoma"/>
            <family val="2"/>
          </rPr>
          <t>SOMPO PAR + EQ</t>
        </r>
      </text>
    </comment>
    <comment ref="AF36" authorId="0">
      <text>
        <r>
          <rPr>
            <b/>
            <sz val="9"/>
            <color indexed="81"/>
            <rFont val="Tahoma"/>
            <family val="2"/>
          </rPr>
          <t>SELIISH MT GT MIN + BUNGA PELUNASAN HSBC</t>
        </r>
      </text>
    </comment>
    <comment ref="R37" authorId="0">
      <text>
        <r>
          <rPr>
            <b/>
            <sz val="9"/>
            <color indexed="81"/>
            <rFont val="Tahoma"/>
            <family val="2"/>
          </rPr>
          <t>BUNGA HSBC + BCA</t>
        </r>
      </text>
    </comment>
    <comment ref="AF37" authorId="0">
      <text>
        <r>
          <rPr>
            <b/>
            <sz val="9"/>
            <color indexed="81"/>
            <rFont val="Tahoma"/>
            <family val="2"/>
          </rPr>
          <t>PINDAH DANA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-KLAIM</t>
        </r>
      </text>
    </comment>
  </commentList>
</comments>
</file>

<file path=xl/comments3.xml><?xml version="1.0" encoding="utf-8"?>
<comments xmlns="http://schemas.openxmlformats.org/spreadsheetml/2006/main">
  <authors>
    <author>300-20</author>
    <author>300</author>
  </authors>
  <commentList>
    <comment ref="AD20" authorId="0">
      <text>
        <r>
          <rPr>
            <b/>
            <sz val="9"/>
            <color indexed="81"/>
            <rFont val="Tahoma"/>
            <family val="2"/>
          </rPr>
          <t>tambahan (tanyakan p agung)</t>
        </r>
      </text>
    </comment>
    <comment ref="AJ21" authorId="0">
      <text>
        <r>
          <rPr>
            <b/>
            <sz val="9"/>
            <color indexed="81"/>
            <rFont val="Tahoma"/>
            <family val="2"/>
          </rPr>
          <t xml:space="preserve">tambahan (tanyakan p agung) tgl 4 jan </t>
        </r>
      </text>
    </comment>
    <comment ref="AE24" authorId="0">
      <text>
        <r>
          <rPr>
            <b/>
            <sz val="9"/>
            <color indexed="81"/>
            <rFont val="Tahoma"/>
            <family val="2"/>
          </rPr>
          <t>terima tgl 25</t>
        </r>
      </text>
    </comment>
    <comment ref="AF24" authorId="0">
      <text>
        <r>
          <rPr>
            <b/>
            <sz val="9"/>
            <color indexed="81"/>
            <rFont val="Tahoma"/>
            <family val="2"/>
          </rPr>
          <t>terima tgl 26</t>
        </r>
      </text>
    </comment>
    <comment ref="C33" authorId="1">
      <text>
        <r>
          <rPr>
            <b/>
            <sz val="9"/>
            <color indexed="81"/>
            <rFont val="Tahoma"/>
            <family val="2"/>
          </rPr>
          <t>B PELUNASAN HSBC</t>
        </r>
      </text>
    </comment>
    <comment ref="D33" authorId="1">
      <text>
        <r>
          <rPr>
            <b/>
            <sz val="9"/>
            <color indexed="81"/>
            <rFont val="Tahoma"/>
            <family val="2"/>
          </rPr>
          <t xml:space="preserve">BUNGA MIN + YIJG NOV </t>
        </r>
      </text>
    </comment>
    <comment ref="I33" authorId="0">
      <text>
        <r>
          <rPr>
            <b/>
            <sz val="9"/>
            <color indexed="81"/>
            <rFont val="Tahoma"/>
            <family val="2"/>
          </rPr>
          <t xml:space="preserve">BUNGA HSBC </t>
        </r>
      </text>
    </comment>
    <comment ref="S33" authorId="0">
      <text>
        <r>
          <rPr>
            <b/>
            <sz val="9"/>
            <color indexed="81"/>
            <rFont val="Tahoma"/>
            <family val="2"/>
          </rPr>
          <t>BG AI</t>
        </r>
      </text>
    </comment>
    <comment ref="Y33" authorId="0">
      <text>
        <r>
          <rPr>
            <b/>
            <sz val="9"/>
            <color indexed="81"/>
            <rFont val="Tahoma"/>
            <family val="2"/>
          </rPr>
          <t xml:space="preserve">by rtgs </t>
        </r>
      </text>
    </comment>
    <comment ref="AE33" authorId="0">
      <text>
        <r>
          <rPr>
            <b/>
            <sz val="9"/>
            <color indexed="81"/>
            <rFont val="Tahoma"/>
            <family val="2"/>
          </rPr>
          <t>BUNGA PELUNASAN HSBC</t>
        </r>
      </text>
    </comment>
    <comment ref="AF33" authorId="0">
      <text>
        <r>
          <rPr>
            <b/>
            <sz val="9"/>
            <color indexed="81"/>
            <rFont val="Tahoma"/>
            <family val="2"/>
          </rPr>
          <t xml:space="preserve">GEDUNG </t>
        </r>
      </text>
    </comment>
    <comment ref="D34" authorId="1">
      <text>
        <r>
          <rPr>
            <b/>
            <sz val="9"/>
            <color indexed="81"/>
            <rFont val="Tahoma"/>
            <family val="2"/>
          </rPr>
          <t>PINDAH DANA</t>
        </r>
      </text>
    </comment>
    <comment ref="AE34" authorId="0">
      <text>
        <r>
          <rPr>
            <b/>
            <sz val="9"/>
            <color indexed="81"/>
            <rFont val="Tahoma"/>
            <family val="2"/>
          </rPr>
          <t>BUNGA ULANG BULAN &amp; PELUNASAN BCA</t>
        </r>
      </text>
    </comment>
    <comment ref="AF34" authorId="0">
      <text>
        <r>
          <rPr>
            <b/>
            <sz val="9"/>
            <color indexed="81"/>
            <rFont val="Tahoma"/>
            <family val="2"/>
          </rPr>
          <t>bunga pelunasan hsbc</t>
        </r>
      </text>
    </comment>
    <comment ref="M43" authorId="0">
      <text>
        <r>
          <rPr>
            <b/>
            <sz val="9"/>
            <color indexed="81"/>
            <rFont val="Tahoma"/>
            <family val="2"/>
          </rPr>
          <t>BUNGA</t>
        </r>
      </text>
    </comment>
    <comment ref="AE45" authorId="0">
      <text>
        <r>
          <rPr>
            <b/>
            <sz val="9"/>
            <color indexed="81"/>
            <rFont val="Tahoma"/>
            <family val="2"/>
          </rPr>
          <t xml:space="preserve">tambahan </t>
        </r>
      </text>
    </comment>
    <comment ref="AF45" authorId="0">
      <text>
        <r>
          <rPr>
            <b/>
            <sz val="9"/>
            <color indexed="81"/>
            <rFont val="Tahoma"/>
            <family val="2"/>
          </rPr>
          <t>tambahan</t>
        </r>
      </text>
    </comment>
    <comment ref="AF47" authorId="0">
      <text>
        <r>
          <rPr>
            <b/>
            <sz val="9"/>
            <color indexed="81"/>
            <rFont val="Tahoma"/>
            <family val="2"/>
          </rPr>
          <t>tambahan</t>
        </r>
      </text>
    </comment>
    <comment ref="AF48" authorId="0">
      <text>
        <r>
          <rPr>
            <b/>
            <sz val="9"/>
            <color indexed="81"/>
            <rFont val="Tahoma"/>
            <family val="2"/>
          </rPr>
          <t>tambahan</t>
        </r>
      </text>
    </comment>
    <comment ref="J57" authorId="1">
      <text>
        <r>
          <rPr>
            <b/>
            <sz val="9"/>
            <color indexed="81"/>
            <rFont val="Tahoma"/>
            <family val="2"/>
          </rPr>
          <t>-KLAIM</t>
        </r>
      </text>
    </comment>
  </commentList>
</comments>
</file>

<file path=xl/comments4.xml><?xml version="1.0" encoding="utf-8"?>
<comments xmlns="http://schemas.openxmlformats.org/spreadsheetml/2006/main">
  <authors>
    <author>300-20</author>
    <author>300</author>
  </authors>
  <commentList>
    <comment ref="AB11" authorId="0">
      <text>
        <r>
          <rPr>
            <b/>
            <sz val="9"/>
            <color indexed="81"/>
            <rFont val="Tahoma"/>
            <family val="2"/>
          </rPr>
          <t>JT 21 JAN '21 pending 25 jan '21</t>
        </r>
      </text>
    </comment>
    <comment ref="L16" authorId="0">
      <text>
        <r>
          <rPr>
            <b/>
            <sz val="9"/>
            <color indexed="81"/>
            <rFont val="Tahoma"/>
            <family val="2"/>
          </rPr>
          <t xml:space="preserve">cbd </t>
        </r>
      </text>
    </comment>
    <comment ref="S17" authorId="0">
      <text>
        <r>
          <rPr>
            <b/>
            <sz val="9"/>
            <color indexed="81"/>
            <rFont val="Tahoma"/>
            <family val="2"/>
          </rPr>
          <t>20 jan '21</t>
        </r>
      </text>
    </comment>
    <comment ref="X17" authorId="0">
      <text>
        <r>
          <rPr>
            <b/>
            <sz val="9"/>
            <color indexed="81"/>
            <rFont val="Tahoma"/>
            <family val="2"/>
          </rPr>
          <t>JT TGL 21 JAN '21
PENDING DI 25 JAN '21</t>
        </r>
      </text>
    </comment>
    <comment ref="AB18" authorId="0">
      <text>
        <r>
          <rPr>
            <b/>
            <sz val="9"/>
            <color indexed="81"/>
            <rFont val="Tahoma"/>
            <family val="2"/>
          </rPr>
          <t>JT 24 JAN 21 DIPENDING 5 FEB '21</t>
        </r>
      </text>
    </comment>
    <comment ref="AB28" authorId="0">
      <text>
        <r>
          <rPr>
            <b/>
            <sz val="9"/>
            <color indexed="81"/>
            <rFont val="Tahoma"/>
            <family val="2"/>
          </rPr>
          <t xml:space="preserve">jt 31 des&amp;3jan
PENDING 25 jan '21
DIPENDING LG 5 FEB '20
</t>
        </r>
      </text>
    </comment>
    <comment ref="AB29" authorId="0">
      <text>
        <r>
          <rPr>
            <b/>
            <sz val="9"/>
            <color indexed="81"/>
            <rFont val="Tahoma"/>
            <family val="2"/>
          </rPr>
          <t>JT TGL 8 JAN '21 PENDING 1 feb '21</t>
        </r>
      </text>
    </comment>
    <comment ref="AB30" authorId="0">
      <text>
        <r>
          <rPr>
            <b/>
            <sz val="9"/>
            <color indexed="81"/>
            <rFont val="Tahoma"/>
            <family val="2"/>
          </rPr>
          <t>JT TGL 14 JAN '21 DIPENDING DI W 2 FEB '21</t>
        </r>
      </text>
    </comment>
    <comment ref="AB31" authorId="0">
      <text>
        <r>
          <rPr>
            <b/>
            <sz val="9"/>
            <color indexed="81"/>
            <rFont val="Tahoma"/>
            <family val="2"/>
          </rPr>
          <t>review di w1 feb '21 JT 21 JAN '21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-KLAIM 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 xml:space="preserve">PINDAH DANA + BUNGA BCA + BUNGA HSBC </t>
        </r>
      </text>
    </comment>
    <comment ref="G40" authorId="0">
      <text>
        <r>
          <rPr>
            <b/>
            <sz val="9"/>
            <color indexed="81"/>
            <rFont val="Tahoma"/>
            <family val="2"/>
          </rPr>
          <t>pindah dana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PINDAH DANA </t>
        </r>
      </text>
    </comment>
    <comment ref="K40" authorId="0">
      <text>
        <r>
          <rPr>
            <b/>
            <sz val="9"/>
            <color indexed="81"/>
            <rFont val="Tahoma"/>
            <family val="2"/>
          </rPr>
          <t>distr cos mar cicil 200 jt</t>
        </r>
      </text>
    </comment>
    <comment ref="L40" authorId="0">
      <text>
        <r>
          <rPr>
            <b/>
            <sz val="9"/>
            <color indexed="81"/>
            <rFont val="Tahoma"/>
            <family val="2"/>
          </rPr>
          <t>lunasi di cost mar '20</t>
        </r>
      </text>
    </comment>
    <comment ref="Q40" authorId="0">
      <text>
        <r>
          <rPr>
            <b/>
            <sz val="9"/>
            <color indexed="81"/>
            <rFont val="Tahoma"/>
            <family val="2"/>
          </rPr>
          <t xml:space="preserve">PINDAH DANA
</t>
        </r>
      </text>
    </comment>
    <comment ref="R40" authorId="0">
      <text>
        <r>
          <rPr>
            <b/>
            <sz val="9"/>
            <color indexed="81"/>
            <rFont val="Tahoma"/>
            <family val="2"/>
          </rPr>
          <t>bunga bca</t>
        </r>
      </text>
    </comment>
    <comment ref="S40" authorId="0">
      <text>
        <r>
          <rPr>
            <b/>
            <sz val="9"/>
            <color indexed="81"/>
            <rFont val="Tahoma"/>
            <family val="2"/>
          </rPr>
          <t>BUNGA</t>
        </r>
      </text>
    </comment>
    <comment ref="X40" authorId="0">
      <text>
        <r>
          <rPr>
            <b/>
            <sz val="9"/>
            <color indexed="81"/>
            <rFont val="Tahoma"/>
            <family val="2"/>
          </rPr>
          <t>PINDAH DANA</t>
        </r>
      </text>
    </comment>
    <comment ref="Y40" authorId="0">
      <text>
        <r>
          <rPr>
            <b/>
            <sz val="9"/>
            <color indexed="81"/>
            <rFont val="Tahoma"/>
            <family val="2"/>
          </rPr>
          <t>BG ISI</t>
        </r>
      </text>
    </comment>
    <comment ref="AB40" authorId="0">
      <text>
        <r>
          <rPr>
            <b/>
            <sz val="9"/>
            <color indexed="81"/>
            <rFont val="Tahoma"/>
            <family val="2"/>
          </rPr>
          <t xml:space="preserve">pindah dana 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>BUNGA DIFI YIJG + DIFI MIN + BG MIN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BUNGA DIFI FBI JAN + BUNGA PELUNASAN HSBC</t>
        </r>
      </text>
    </comment>
    <comment ref="K41" authorId="0">
      <text>
        <r>
          <rPr>
            <b/>
            <sz val="9"/>
            <color indexed="81"/>
            <rFont val="Tahoma"/>
            <family val="2"/>
          </rPr>
          <t>BUNGA PELUNASAN BCA + HSBC</t>
        </r>
      </text>
    </comment>
    <comment ref="L41" authorId="0">
      <text>
        <r>
          <rPr>
            <b/>
            <sz val="9"/>
            <color indexed="81"/>
            <rFont val="Tahoma"/>
            <family val="2"/>
          </rPr>
          <t>bunga</t>
        </r>
      </text>
    </comment>
    <comment ref="Q41" authorId="0">
      <text>
        <r>
          <rPr>
            <b/>
            <sz val="9"/>
            <color indexed="81"/>
            <rFont val="Tahoma"/>
            <family val="2"/>
          </rPr>
          <t>BUNGA PELUNASAN</t>
        </r>
      </text>
    </comment>
    <comment ref="J63" authorId="1">
      <text>
        <r>
          <rPr>
            <b/>
            <sz val="9"/>
            <color indexed="81"/>
            <rFont val="Tahoma"/>
            <family val="2"/>
          </rPr>
          <t>-KLAIM</t>
        </r>
      </text>
    </comment>
  </commentList>
</comments>
</file>

<file path=xl/comments5.xml><?xml version="1.0" encoding="utf-8"?>
<comments xmlns="http://schemas.openxmlformats.org/spreadsheetml/2006/main">
  <authors>
    <author>300-20</author>
  </authors>
  <commentList>
    <comment ref="M11" authorId="0">
      <text>
        <r>
          <rPr>
            <b/>
            <sz val="9"/>
            <color indexed="81"/>
            <rFont val="Tahoma"/>
            <family val="2"/>
          </rPr>
          <t>JT 21 JAN '21 pending 25 jan '21 
PENDING TGL 11 FEB '21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JT 24 JAN 21 DIPENDING 5 FEB '21</t>
        </r>
      </text>
    </comment>
    <comment ref="AB17" authorId="0">
      <text>
        <r>
          <rPr>
            <b/>
            <sz val="9"/>
            <color indexed="81"/>
            <rFont val="Tahoma"/>
            <family val="2"/>
          </rPr>
          <t xml:space="preserve">pending 1 mar '21
</t>
        </r>
      </text>
    </comment>
    <comment ref="S21" authorId="0">
      <text>
        <r>
          <rPr>
            <b/>
            <sz val="9"/>
            <color indexed="81"/>
            <rFont val="Tahoma"/>
            <family val="2"/>
          </rPr>
          <t xml:space="preserve">JT 4 FEB '21
DIPENDING KRN FP </t>
        </r>
      </text>
    </comment>
    <comment ref="AB24" authorId="0">
      <text>
        <r>
          <rPr>
            <b/>
            <sz val="9"/>
            <color indexed="81"/>
            <rFont val="Tahoma"/>
            <family val="2"/>
          </rPr>
          <t>-klaim</t>
        </r>
      </text>
    </comment>
    <comment ref="AB28" authorId="0">
      <text>
        <r>
          <rPr>
            <b/>
            <sz val="9"/>
            <color indexed="81"/>
            <rFont val="Tahoma"/>
            <family val="2"/>
          </rPr>
          <t>jt 31 des&amp;3jan
PENDING 25 jan '21
DIPENDING LG 5 FEB '20
EVALUASI 15 FEB '21
EVALUASI 22 FEB '21</t>
        </r>
      </text>
    </comment>
    <comment ref="AB29" authorId="0">
      <text>
        <r>
          <rPr>
            <b/>
            <sz val="9"/>
            <color indexed="81"/>
            <rFont val="Tahoma"/>
            <family val="2"/>
          </rPr>
          <t>JT TGL 8 JAN '21 PENDING 1 feb '21
EVALUASI 15 FEB '21
EVALUASI 22 FEB '21</t>
        </r>
      </text>
    </comment>
    <comment ref="AB30" authorId="0">
      <text>
        <r>
          <rPr>
            <b/>
            <sz val="9"/>
            <color indexed="81"/>
            <rFont val="Tahoma"/>
            <family val="2"/>
          </rPr>
          <t>JT TGL 14 JAN '21 DIPENDING DI W 2 FEB '21
EVALUASI 15 FEB '21
EVALUASI 22 FEB '21</t>
        </r>
      </text>
    </comment>
    <comment ref="AB31" authorId="0">
      <text>
        <r>
          <rPr>
            <b/>
            <sz val="9"/>
            <color indexed="81"/>
            <rFont val="Tahoma"/>
            <family val="2"/>
          </rPr>
          <t>review di w1 feb '21 JT 21 JAN '21
EVALUASI 15 FEB '21
EVALUASI 22 FEB '21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>GEDUNG-BBM JAN '21</t>
        </r>
      </text>
    </comment>
    <comment ref="F42" authorId="0">
      <text>
        <r>
          <rPr>
            <b/>
            <sz val="9"/>
            <color indexed="81"/>
            <rFont val="Tahoma"/>
            <family val="2"/>
          </rPr>
          <t xml:space="preserve">BUNGA PELUNASAN  </t>
        </r>
      </text>
    </comment>
    <comment ref="G42" authorId="0">
      <text>
        <r>
          <rPr>
            <b/>
            <sz val="9"/>
            <color indexed="81"/>
            <rFont val="Tahoma"/>
            <family val="2"/>
          </rPr>
          <t>BUNGA</t>
        </r>
      </text>
    </comment>
    <comment ref="M42" authorId="0">
      <text>
        <r>
          <rPr>
            <b/>
            <sz val="9"/>
            <color indexed="81"/>
            <rFont val="Tahoma"/>
            <family val="2"/>
          </rPr>
          <t>GFI</t>
        </r>
      </text>
    </comment>
    <comment ref="Q42" authorId="0">
      <text>
        <r>
          <rPr>
            <b/>
            <sz val="9"/>
            <color indexed="81"/>
            <rFont val="Tahoma"/>
            <family val="2"/>
          </rPr>
          <t xml:space="preserve">pindah dana </t>
        </r>
      </text>
    </comment>
    <comment ref="R42" authorId="0">
      <text>
        <r>
          <rPr>
            <b/>
            <sz val="9"/>
            <color indexed="81"/>
            <rFont val="Tahoma"/>
            <family val="2"/>
          </rPr>
          <t>BUNGA</t>
        </r>
      </text>
    </comment>
    <comment ref="U42" authorId="0">
      <text>
        <r>
          <rPr>
            <b/>
            <sz val="9"/>
            <color indexed="81"/>
            <rFont val="Tahoma"/>
            <family val="2"/>
          </rPr>
          <t>PINDAH DANA + AGB CBD</t>
        </r>
      </text>
    </comment>
    <comment ref="AB42" authorId="0">
      <text>
        <r>
          <rPr>
            <b/>
            <sz val="9"/>
            <color indexed="81"/>
            <rFont val="Tahoma"/>
            <family val="2"/>
          </rPr>
          <t>gedungkemndaraan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BUNGA YIJG + MIN + PINDAH DANA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PINDAH DANA + BUNGA PELUNASAN </t>
        </r>
      </text>
    </comment>
    <comment ref="M43" authorId="0">
      <text>
        <r>
          <rPr>
            <b/>
            <sz val="9"/>
            <color indexed="81"/>
            <rFont val="Tahoma"/>
            <family val="2"/>
          </rPr>
          <t xml:space="preserve">BG AGB + BUNGA DIFI FBI + BUNGA PELUNASAN </t>
        </r>
      </text>
    </comment>
    <comment ref="U43" authorId="0">
      <text>
        <r>
          <rPr>
            <b/>
            <sz val="9"/>
            <color indexed="81"/>
            <rFont val="Tahoma"/>
            <family val="2"/>
          </rPr>
          <t>DBW CBD</t>
        </r>
      </text>
    </comment>
  </commentList>
</comments>
</file>

<file path=xl/comments6.xml><?xml version="1.0" encoding="utf-8"?>
<comments xmlns="http://schemas.openxmlformats.org/spreadsheetml/2006/main">
  <authors>
    <author>300-20</author>
  </authors>
  <commentList>
    <comment ref="D7" authorId="0">
      <text>
        <r>
          <rPr>
            <b/>
            <sz val="9"/>
            <color indexed="81"/>
            <rFont val="Tahoma"/>
            <family val="2"/>
          </rPr>
          <t>cbd</t>
        </r>
      </text>
    </comment>
    <comment ref="L9" authorId="0">
      <text>
        <r>
          <rPr>
            <b/>
            <sz val="9"/>
            <color indexed="81"/>
            <rFont val="Tahoma"/>
            <family val="2"/>
          </rPr>
          <t xml:space="preserve">JT TGL 10 MRT ROLLOVER G JADI 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JT TGL 16 MRT ROLLOVER G JADI</t>
        </r>
      </text>
    </comment>
    <comment ref="Q16" authorId="0">
      <text>
        <r>
          <rPr>
            <b/>
            <sz val="9"/>
            <color indexed="81"/>
            <rFont val="Tahoma"/>
            <family val="2"/>
          </rPr>
          <t>cbd</t>
        </r>
      </text>
    </comment>
    <comment ref="Y16" authorId="0">
      <text>
        <r>
          <rPr>
            <b/>
            <sz val="9"/>
            <color indexed="81"/>
            <rFont val="Tahoma"/>
            <family val="2"/>
          </rPr>
          <t>CBD</t>
        </r>
      </text>
    </comment>
    <comment ref="AB16" authorId="0">
      <text>
        <r>
          <rPr>
            <b/>
            <sz val="9"/>
            <color indexed="81"/>
            <rFont val="Tahoma"/>
            <family val="2"/>
          </rPr>
          <t>pending nunggu inv asli datang</t>
        </r>
      </text>
    </comment>
    <comment ref="AE16" authorId="0">
      <text>
        <r>
          <rPr>
            <b/>
            <sz val="9"/>
            <color indexed="81"/>
            <rFont val="Tahoma"/>
            <family val="2"/>
          </rPr>
          <t>cbd</t>
        </r>
      </text>
    </comment>
    <comment ref="D17" authorId="0">
      <text>
        <r>
          <rPr>
            <b/>
            <sz val="9"/>
            <color indexed="81"/>
            <rFont val="Tahoma"/>
            <family val="2"/>
          </rPr>
          <t>pending 1 mar '21
PENDING LAGI STOK MASIH BANYAK
BAYAR TGL 2 MAR. P AGUNG</t>
        </r>
      </text>
    </comment>
    <comment ref="Q17" authorId="0">
      <text>
        <r>
          <rPr>
            <b/>
            <sz val="9"/>
            <color indexed="81"/>
            <rFont val="Tahoma"/>
            <family val="2"/>
          </rPr>
          <t>JT 11 MRT ROLLOVER G JADI,
PENDING TGL 15 MAR</t>
        </r>
      </text>
    </comment>
    <comment ref="X17" authorId="0">
      <text>
        <r>
          <rPr>
            <b/>
            <sz val="9"/>
            <color indexed="81"/>
            <rFont val="Tahoma"/>
            <family val="2"/>
          </rPr>
          <t>JT 19 MAR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pending 5 mar '21</t>
        </r>
      </text>
    </comment>
    <comment ref="Q19" authorId="0">
      <text>
        <r>
          <rPr>
            <b/>
            <sz val="9"/>
            <color indexed="81"/>
            <rFont val="Tahoma"/>
            <family val="2"/>
          </rPr>
          <t xml:space="preserve">JT 11 MRT, ROLLOVER G JADI
PENDING TGL 15 MAR </t>
        </r>
      </text>
    </comment>
    <comment ref="G27" authorId="0">
      <text>
        <r>
          <rPr>
            <b/>
            <sz val="9"/>
            <color indexed="81"/>
            <rFont val="Tahoma"/>
            <family val="2"/>
          </rPr>
          <t>PENDING 5 MAR '21</t>
        </r>
      </text>
    </comment>
    <comment ref="T28" authorId="0">
      <text>
        <r>
          <rPr>
            <b/>
            <sz val="9"/>
            <color indexed="81"/>
            <rFont val="Tahoma"/>
            <family val="2"/>
          </rPr>
          <t>jt 31 des&amp;3jan
PENDING 25 jan '21
DIPENDING LG 5 FEB '20
EVALUASI 15 FEB '21
EVALUASI 22 FEB '21
EVALUASI NUNGGU KABAR P AGUNG MENUNGGU RETURAN</t>
        </r>
      </text>
    </comment>
    <comment ref="X28" authorId="0">
      <text>
        <r>
          <rPr>
            <b/>
            <sz val="9"/>
            <color indexed="81"/>
            <rFont val="Tahoma"/>
            <family val="2"/>
          </rPr>
          <t>JT TGL 8 JAN '21 PENDING 1 feb '21
EVALUASI 15 FEB '21
EVALUASI 22 FEB '21</t>
        </r>
      </text>
    </comment>
    <comment ref="AB28" authorId="0">
      <text>
        <r>
          <rPr>
            <b/>
            <sz val="9"/>
            <color indexed="81"/>
            <rFont val="Tahoma"/>
            <family val="2"/>
          </rPr>
          <t>JT TGL 14 JAN '21 DIPENDING DI W 2 FEB '21
EVALUASI 15 FEB '21
EVALUASI 22 FEB '21</t>
        </r>
      </text>
    </comment>
    <comment ref="AG28" authorId="0">
      <text>
        <r>
          <rPr>
            <b/>
            <sz val="9"/>
            <color indexed="81"/>
            <rFont val="Tahoma"/>
            <family val="2"/>
          </rPr>
          <t>review di w1 feb '21 JT 21 JAN '21
EVALUASI 15 FEB '21
EVALUASI 22 FEB '21</t>
        </r>
      </text>
    </comment>
    <comment ref="Q36" authorId="0">
      <text>
        <r>
          <rPr>
            <b/>
            <sz val="9"/>
            <color indexed="81"/>
            <rFont val="Tahoma"/>
            <family val="2"/>
          </rPr>
          <t>JT TGL 13 MRT ROLLOVER G JADI</t>
        </r>
      </text>
    </comment>
    <comment ref="AE37" authorId="0">
      <text>
        <r>
          <rPr>
            <b/>
            <sz val="9"/>
            <color indexed="81"/>
            <rFont val="Tahoma"/>
            <family val="2"/>
          </rPr>
          <t>INV JT 27&amp;28 MAR  = 48.888.000 JADI 658.000</t>
        </r>
      </text>
    </comment>
    <comment ref="AE38" authorId="0">
      <text>
        <r>
          <rPr>
            <b/>
            <sz val="9"/>
            <color indexed="81"/>
            <rFont val="Tahoma"/>
            <family val="2"/>
          </rPr>
          <t>JT 29 MAR&amp;30 MAR =
329.323.500 JADI 313.981.000</t>
        </r>
      </text>
    </comment>
    <comment ref="AG39" authorId="0">
      <text>
        <r>
          <rPr>
            <b/>
            <sz val="9"/>
            <color indexed="81"/>
            <rFont val="Tahoma"/>
            <family val="2"/>
          </rPr>
          <t xml:space="preserve">JT 29 MAR </t>
        </r>
      </text>
    </comment>
    <comment ref="G44" authorId="0">
      <text>
        <r>
          <rPr>
            <b/>
            <sz val="9"/>
            <color indexed="81"/>
            <rFont val="Tahoma"/>
            <family val="2"/>
          </rPr>
          <t>PINDAH DANA</t>
        </r>
      </text>
    </comment>
    <comment ref="N44" authorId="0">
      <text>
        <r>
          <rPr>
            <b/>
            <sz val="9"/>
            <color indexed="81"/>
            <rFont val="Tahoma"/>
            <family val="2"/>
          </rPr>
          <t xml:space="preserve">PINDAH DANA 
</t>
        </r>
      </text>
    </comment>
    <comment ref="U44" authorId="0">
      <text>
        <r>
          <rPr>
            <b/>
            <sz val="9"/>
            <color indexed="81"/>
            <rFont val="Tahoma"/>
            <family val="2"/>
          </rPr>
          <t xml:space="preserve">PINDAH DANA </t>
        </r>
      </text>
    </comment>
    <comment ref="X44" authorId="0">
      <text>
        <r>
          <rPr>
            <b/>
            <sz val="9"/>
            <color indexed="81"/>
            <rFont val="Tahoma"/>
            <family val="2"/>
          </rPr>
          <t>PINDAH DANA</t>
        </r>
      </text>
    </comment>
    <comment ref="Z44" authorId="0">
      <text>
        <r>
          <rPr>
            <b/>
            <sz val="9"/>
            <color indexed="81"/>
            <rFont val="Tahoma"/>
            <family val="2"/>
          </rPr>
          <t>BUNGA PELUNASAN HSBC W 4 MAR</t>
        </r>
      </text>
    </comment>
    <comment ref="AE44" authorId="0">
      <text>
        <r>
          <rPr>
            <b/>
            <sz val="9"/>
            <color indexed="81"/>
            <rFont val="Tahoma"/>
            <family val="2"/>
          </rPr>
          <t>CICIL MAN FEE APR '20</t>
        </r>
      </text>
    </comment>
    <comment ref="N45" authorId="0">
      <text>
        <r>
          <rPr>
            <b/>
            <sz val="9"/>
            <color indexed="81"/>
            <rFont val="Tahoma"/>
            <family val="2"/>
          </rPr>
          <t>BUNGA DIFI FBI + BUNGA PELUNASAN HSBC</t>
        </r>
      </text>
    </comment>
  </commentList>
</comments>
</file>

<file path=xl/comments7.xml><?xml version="1.0" encoding="utf-8"?>
<comments xmlns="http://schemas.openxmlformats.org/spreadsheetml/2006/main">
  <authors>
    <author>300-20</author>
  </authors>
  <commentList>
    <comment ref="U7" authorId="0">
      <text>
        <r>
          <rPr>
            <b/>
            <sz val="9"/>
            <color indexed="81"/>
            <rFont val="Tahoma"/>
            <family val="2"/>
          </rPr>
          <t xml:space="preserve">CBD </t>
        </r>
      </text>
    </comment>
    <comment ref="V17" authorId="0">
      <text>
        <r>
          <rPr>
            <b/>
            <sz val="9"/>
            <color indexed="81"/>
            <rFont val="Tahoma"/>
            <family val="2"/>
          </rPr>
          <t>JT 150421
PENDING 200421</t>
        </r>
      </text>
    </comment>
    <comment ref="U27" authorId="0">
      <text>
        <r>
          <rPr>
            <b/>
            <sz val="9"/>
            <color indexed="81"/>
            <rFont val="Tahoma"/>
            <family val="2"/>
          </rPr>
          <t>JT tgl 13 Apr pending
tgl 19 APR</t>
        </r>
      </text>
    </comment>
    <comment ref="X27" authorId="0">
      <text>
        <r>
          <rPr>
            <b/>
            <sz val="9"/>
            <color indexed="81"/>
            <rFont val="Tahoma"/>
            <family val="2"/>
          </rPr>
          <t>JT TGL 150421
PENDING TGL 220421</t>
        </r>
      </text>
    </comment>
    <comment ref="AE27" authorId="0">
      <text>
        <r>
          <rPr>
            <b/>
            <sz val="9"/>
            <color indexed="81"/>
            <rFont val="Tahoma"/>
            <family val="2"/>
          </rPr>
          <t>CBD</t>
        </r>
      </text>
    </comment>
    <comment ref="O28" authorId="0">
      <text>
        <r>
          <rPr>
            <b/>
            <sz val="9"/>
            <color indexed="81"/>
            <rFont val="Tahoma"/>
            <family val="2"/>
          </rPr>
          <t xml:space="preserve">JT 260221
PLAN BAYAR TGL 13 APR </t>
        </r>
      </text>
    </comment>
    <comment ref="R28" authorId="0">
      <text>
        <r>
          <rPr>
            <b/>
            <sz val="9"/>
            <color indexed="81"/>
            <rFont val="Tahoma"/>
            <family val="2"/>
          </rPr>
          <t>JT 280221
PLAN BAYAR TGL 16 APR</t>
        </r>
      </text>
    </comment>
    <comment ref="U28" authorId="0">
      <text>
        <r>
          <rPr>
            <b/>
            <sz val="9"/>
            <color indexed="81"/>
            <rFont val="Tahoma"/>
            <family val="2"/>
          </rPr>
          <t>JT 8 APR 
PENDING
PLAN BAYAR TGL 19 APR</t>
        </r>
      </text>
    </comment>
    <comment ref="AF29" authorId="0">
      <text>
        <r>
          <rPr>
            <b/>
            <sz val="9"/>
            <color indexed="81"/>
            <rFont val="Tahoma"/>
            <family val="2"/>
          </rPr>
          <t xml:space="preserve">JT 12 APR 
PLAN BAYAR TGL 22 APR GA JADI
PENDING TGL 30 APR
EVALUASI W 2 MEI </t>
        </r>
      </text>
    </comment>
    <comment ref="AF30" authorId="0">
      <text>
        <r>
          <rPr>
            <b/>
            <sz val="9"/>
            <color indexed="81"/>
            <rFont val="Tahoma"/>
            <family val="2"/>
          </rPr>
          <t>JT 15 APR
TANYA P AGUNG 30 APR
EVALUASI W 2 MEI</t>
        </r>
      </text>
    </comment>
    <comment ref="AF31" authorId="0">
      <text>
        <r>
          <rPr>
            <b/>
            <sz val="9"/>
            <color indexed="81"/>
            <rFont val="Tahoma"/>
            <family val="2"/>
          </rPr>
          <t>JT 22 APR
TANYA P AGUNG 30 APR
EVALUAS W 2 MEI</t>
        </r>
      </text>
    </comment>
    <comment ref="AF33" authorId="0">
      <text>
        <r>
          <rPr>
            <b/>
            <sz val="9"/>
            <color indexed="81"/>
            <rFont val="Tahoma"/>
            <family val="2"/>
          </rPr>
          <t xml:space="preserve">JT 28 FEB '21 
Pending 1 mar '21
DIPENDING LAGI NUNGGU AGING DR RISYA </t>
        </r>
      </text>
    </comment>
    <comment ref="AF34" authorId="0">
      <text>
        <r>
          <rPr>
            <b/>
            <sz val="9"/>
            <color indexed="81"/>
            <rFont val="Tahoma"/>
            <family val="2"/>
          </rPr>
          <t xml:space="preserve">DI AMS CANDRA JT 31 MAR, 1 APR, 2 APR, 3 APR </t>
        </r>
      </text>
    </comment>
    <comment ref="AF35" authorId="0">
      <text>
        <r>
          <rPr>
            <b/>
            <sz val="9"/>
            <color indexed="81"/>
            <rFont val="Tahoma"/>
            <family val="2"/>
          </rPr>
          <t>DI AMS CANDRA JT 23 APR</t>
        </r>
      </text>
    </comment>
    <comment ref="AF36" authorId="0">
      <text>
        <r>
          <rPr>
            <b/>
            <sz val="9"/>
            <color indexed="81"/>
            <rFont val="Tahoma"/>
            <family val="2"/>
          </rPr>
          <t>JT 8 MRT '21 DIPENDING NUNGGU AGING KLAIM RISYA</t>
        </r>
      </text>
    </comment>
    <comment ref="AF37" authorId="0">
      <text>
        <r>
          <rPr>
            <b/>
            <sz val="9"/>
            <color indexed="81"/>
            <rFont val="Tahoma"/>
            <family val="2"/>
          </rPr>
          <t xml:space="preserve">JT 22 MRT </t>
        </r>
      </text>
    </comment>
    <comment ref="AF38" authorId="0">
      <text>
        <r>
          <rPr>
            <b/>
            <sz val="9"/>
            <color indexed="81"/>
            <rFont val="Tahoma"/>
            <family val="2"/>
          </rPr>
          <t>JT 2&amp;3 APR</t>
        </r>
      </text>
    </comment>
    <comment ref="N39" authorId="0">
      <text>
        <r>
          <rPr>
            <b/>
            <sz val="9"/>
            <color indexed="81"/>
            <rFont val="Tahoma"/>
            <family val="2"/>
          </rPr>
          <t>JT TGL 2,3,4 APR
PLAN BAYAR 12 APR</t>
        </r>
      </text>
    </comment>
    <comment ref="AF39" authorId="0">
      <text>
        <r>
          <rPr>
            <b/>
            <sz val="9"/>
            <color indexed="81"/>
            <rFont val="Tahoma"/>
            <family val="2"/>
          </rPr>
          <t>JT 19 APR
EVALUASI TGL 26 APR
EVALUASI AKHIR APR '21
EVALUAS W 3 MEI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JT 3 APR PENDING ADA SELISIH HARGA BONUS
SUDAH DIBAYAR</t>
        </r>
      </text>
    </comment>
    <comment ref="G51" authorId="0">
      <text>
        <r>
          <rPr>
            <b/>
            <sz val="9"/>
            <color indexed="81"/>
            <rFont val="Tahoma"/>
            <family val="2"/>
          </rPr>
          <t>BUNGA DIFI MIN &amp; YIJG MAR</t>
        </r>
      </text>
    </comment>
    <comment ref="I51" authorId="0">
      <text>
        <r>
          <rPr>
            <b/>
            <sz val="9"/>
            <color indexed="81"/>
            <rFont val="Tahoma"/>
            <family val="2"/>
          </rPr>
          <t>YIJG F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YIJG F</t>
        </r>
      </text>
    </comment>
    <comment ref="U51" authorId="0">
      <text>
        <r>
          <rPr>
            <b/>
            <sz val="9"/>
            <color indexed="81"/>
            <rFont val="Tahoma"/>
            <family val="2"/>
          </rPr>
          <t xml:space="preserve">PINDAH DANA </t>
        </r>
      </text>
    </comment>
    <comment ref="AE51" authorId="0">
      <text>
        <r>
          <rPr>
            <b/>
            <sz val="9"/>
            <color indexed="81"/>
            <rFont val="Tahoma"/>
            <family val="2"/>
          </rPr>
          <t xml:space="preserve">MIN KANVASI
</t>
        </r>
      </text>
    </comment>
    <comment ref="G52" authorId="0">
      <text>
        <r>
          <rPr>
            <b/>
            <sz val="9"/>
            <color indexed="81"/>
            <rFont val="Tahoma"/>
            <family val="2"/>
          </rPr>
          <t>YIJG FESTIVE</t>
        </r>
      </text>
    </comment>
    <comment ref="AC52" authorId="0">
      <text>
        <r>
          <rPr>
            <b/>
            <sz val="9"/>
            <color indexed="81"/>
            <rFont val="Tahoma"/>
            <family val="2"/>
          </rPr>
          <t>THR + BY ASURANSI PAR + EQ</t>
        </r>
      </text>
    </comment>
    <comment ref="AD52" authorId="0">
      <text>
        <r>
          <rPr>
            <b/>
            <sz val="9"/>
            <color indexed="81"/>
            <rFont val="Tahoma"/>
            <family val="2"/>
          </rPr>
          <t>BY BBM MTX APR + SWADHARMA + BUNGA PELUNASAN</t>
        </r>
      </text>
    </comment>
    <comment ref="AE52" authorId="0">
      <text>
        <r>
          <rPr>
            <b/>
            <sz val="9"/>
            <color indexed="81"/>
            <rFont val="Tahoma"/>
            <family val="2"/>
          </rPr>
          <t>BUNGA PELUNASAN BCA + HSBC</t>
        </r>
      </text>
    </comment>
    <comment ref="AF52" authorId="0">
      <text>
        <r>
          <rPr>
            <b/>
            <sz val="9"/>
            <color indexed="81"/>
            <rFont val="Tahoma"/>
            <family val="2"/>
          </rPr>
          <t>BUNGA PELUNASAN BCA + HSBC</t>
        </r>
      </text>
    </comment>
    <comment ref="AF53" authorId="0">
      <text>
        <r>
          <rPr>
            <b/>
            <sz val="9"/>
            <color indexed="81"/>
            <rFont val="Tahoma"/>
            <family val="2"/>
          </rPr>
          <t xml:space="preserve">GUDANG MGL + DISCOS MEI-JUN + </t>
        </r>
      </text>
    </comment>
  </commentList>
</comments>
</file>

<file path=xl/comments8.xml><?xml version="1.0" encoding="utf-8"?>
<comments xmlns="http://schemas.openxmlformats.org/spreadsheetml/2006/main">
  <authors>
    <author>300-20</author>
  </authors>
  <commentList>
    <comment ref="AE17" authorId="0">
      <text>
        <r>
          <rPr>
            <b/>
            <sz val="9"/>
            <color indexed="81"/>
            <rFont val="Tahoma"/>
            <family val="2"/>
          </rPr>
          <t>JT 27 MEI 
PENDING INV ASLI BELUM ADA</t>
        </r>
      </text>
    </comment>
    <comment ref="Y28" authorId="0">
      <text>
        <r>
          <rPr>
            <b/>
            <sz val="9"/>
            <color indexed="81"/>
            <rFont val="Tahoma"/>
            <family val="2"/>
          </rPr>
          <t>JT 12 APR 
PLAN BAYAR TGL 22 APR GA JADI
PENDING TGL 30 APR
EVALUASI W 2 MEI 
EVALUASI TGL 180521
EVALUASI W 4 MEI SENIN</t>
        </r>
      </text>
    </comment>
    <comment ref="Y29" authorId="0">
      <text>
        <r>
          <rPr>
            <b/>
            <sz val="9"/>
            <color indexed="81"/>
            <rFont val="Tahoma"/>
            <family val="2"/>
          </rPr>
          <t>JT 15 APR
TANYA P AGUNG 30 APR
EVALUASI W 2 MEI
EVALUASI W 4 MEI SENIN</t>
        </r>
      </text>
    </comment>
    <comment ref="AE30" authorId="0">
      <text>
        <r>
          <rPr>
            <b/>
            <sz val="9"/>
            <color indexed="81"/>
            <rFont val="Tahoma"/>
            <family val="2"/>
          </rPr>
          <t>JT 22 APR
TANYA P AGUNG 30 APR
EVALUAS W 2 MEI
EVALUASI W 4 MEI SENIN</t>
        </r>
      </text>
    </comment>
    <comment ref="AE31" authorId="0">
      <text>
        <r>
          <rPr>
            <b/>
            <sz val="9"/>
            <color indexed="81"/>
            <rFont val="Tahoma"/>
            <family val="2"/>
          </rPr>
          <t>JT 7 MEI 
EVALUASI W 2 MEI
EVALUASI W 4 MEI SENIN</t>
        </r>
      </text>
    </comment>
    <comment ref="AE32" authorId="0">
      <text>
        <r>
          <rPr>
            <b/>
            <sz val="9"/>
            <color indexed="81"/>
            <rFont val="Tahoma"/>
            <family val="2"/>
          </rPr>
          <t>JT 9 MEI '21
EVALUASI TGL 180521
EVALUASI W 4 MEI SENIN</t>
        </r>
      </text>
    </comment>
    <comment ref="AE33" authorId="0">
      <text>
        <r>
          <rPr>
            <b/>
            <sz val="9"/>
            <color indexed="81"/>
            <rFont val="Tahoma"/>
            <family val="2"/>
          </rPr>
          <t>JT 11 MEI '21
EVALUASI TGL 180521
EVALUASI W 4 MEI SENIN</t>
        </r>
      </text>
    </comment>
    <comment ref="AE34" authorId="0">
      <text>
        <r>
          <rPr>
            <b/>
            <sz val="9"/>
            <color indexed="81"/>
            <rFont val="Tahoma"/>
            <family val="2"/>
          </rPr>
          <t xml:space="preserve">JT 14 &amp; 15 MEI PENDING AWAL JUNI
</t>
        </r>
      </text>
    </comment>
    <comment ref="AE35" authorId="0">
      <text>
        <r>
          <rPr>
            <b/>
            <sz val="9"/>
            <color indexed="81"/>
            <rFont val="Tahoma"/>
            <family val="2"/>
          </rPr>
          <t>JT 14 MEI 
EVALUASI AWAL JUN</t>
        </r>
      </text>
    </comment>
    <comment ref="AE36" authorId="0">
      <text>
        <r>
          <rPr>
            <b/>
            <sz val="9"/>
            <color indexed="81"/>
            <rFont val="Tahoma"/>
            <family val="2"/>
          </rPr>
          <t>JT 16 MEI
EVALUASI AWAL JUNI</t>
        </r>
      </text>
    </comment>
    <comment ref="AE37" authorId="0">
      <text>
        <r>
          <rPr>
            <b/>
            <sz val="9"/>
            <color indexed="81"/>
            <rFont val="Tahoma"/>
            <family val="2"/>
          </rPr>
          <t>JT 20 MEI 
EVALUASI AWAL JUNI</t>
        </r>
      </text>
    </comment>
    <comment ref="AE38" authorId="0">
      <text>
        <r>
          <rPr>
            <b/>
            <sz val="9"/>
            <color indexed="81"/>
            <rFont val="Tahoma"/>
            <family val="2"/>
          </rPr>
          <t>JT 21 MEI 
EVALUASI AWAL JUNI</t>
        </r>
      </text>
    </comment>
    <comment ref="T40" authorId="0">
      <text>
        <r>
          <rPr>
            <b/>
            <sz val="9"/>
            <color indexed="81"/>
            <rFont val="Tahoma"/>
            <family val="2"/>
          </rPr>
          <t xml:space="preserve">JT 28 FEB '21 
Pending 1 mar '21
DIPENDING LAGI NUNGGU AGING DR RISYA </t>
        </r>
      </text>
    </comment>
    <comment ref="U41" authorId="0">
      <text>
        <r>
          <rPr>
            <b/>
            <sz val="9"/>
            <color indexed="81"/>
            <rFont val="Tahoma"/>
            <family val="2"/>
          </rPr>
          <t>DI AMS CANDRA JT 31 MAR, 1 APR, 2 APR, 3 APR 
DIPENDING LAGI NUNGGU AGING DR RISYA</t>
        </r>
      </text>
    </comment>
    <comment ref="AE42" authorId="0">
      <text>
        <r>
          <rPr>
            <b/>
            <sz val="9"/>
            <color indexed="81"/>
            <rFont val="Tahoma"/>
            <family val="2"/>
          </rPr>
          <t>DI AMS CANDRA JT 23 APR
DIPENDING LAGI NUNGGU AGING DR RISYA</t>
        </r>
      </text>
    </comment>
    <comment ref="T44" authorId="0">
      <text>
        <r>
          <rPr>
            <b/>
            <sz val="9"/>
            <color indexed="81"/>
            <rFont val="Tahoma"/>
            <family val="2"/>
          </rPr>
          <t>JT 8 MRT '21 DIPENDING NUNGGU AGING KLAIM RISYA
DIPENDING LAGI NUNGGU AGING DR RISYA</t>
        </r>
      </text>
    </comment>
    <comment ref="T45" authorId="0">
      <text>
        <r>
          <rPr>
            <b/>
            <sz val="9"/>
            <color indexed="81"/>
            <rFont val="Tahoma"/>
            <family val="2"/>
          </rPr>
          <t>JT 22 MRT 
DIPENDING LAGI NUNGGU AGING DR RISYA</t>
        </r>
      </text>
    </comment>
    <comment ref="X46" authorId="0">
      <text>
        <r>
          <rPr>
            <b/>
            <sz val="9"/>
            <color indexed="81"/>
            <rFont val="Tahoma"/>
            <family val="2"/>
          </rPr>
          <t>JT 2&amp;3 APR
DIPENDING LAGI NUNGGU AGING DR RISYA</t>
        </r>
      </text>
    </comment>
    <comment ref="AE47" authorId="0">
      <text>
        <r>
          <rPr>
            <b/>
            <sz val="9"/>
            <color indexed="81"/>
            <rFont val="Tahoma"/>
            <family val="2"/>
          </rPr>
          <t>JT 19 APR
EVALUASI TGL 26 APR
EVALUASI AKHIR APR '21
EVALUAS W 3 MEI
EVALUASI W 4 MEI SENIN</t>
        </r>
      </text>
    </comment>
    <comment ref="AE48" authorId="0">
      <text>
        <r>
          <rPr>
            <b/>
            <sz val="9"/>
            <color indexed="81"/>
            <rFont val="Tahoma"/>
            <family val="2"/>
          </rPr>
          <t>JT 9 MEI
EVALUASI W 4 MEI SENIN</t>
        </r>
      </text>
    </comment>
    <comment ref="AE49" authorId="0">
      <text>
        <r>
          <rPr>
            <b/>
            <sz val="9"/>
            <color indexed="81"/>
            <rFont val="Tahoma"/>
            <family val="2"/>
          </rPr>
          <t>JT 11 MEI
EVALUASI W 4 MEI SENIN</t>
        </r>
      </text>
    </comment>
    <comment ref="AE50" authorId="0">
      <text>
        <r>
          <rPr>
            <b/>
            <sz val="9"/>
            <color indexed="81"/>
            <rFont val="Tahoma"/>
            <family val="2"/>
          </rPr>
          <t>JT 12 MEI
EVALUASI W 4 MEI SENIN</t>
        </r>
      </text>
    </comment>
    <comment ref="AE53" authorId="0">
      <text>
        <r>
          <rPr>
            <b/>
            <sz val="9"/>
            <color indexed="81"/>
            <rFont val="Tahoma"/>
            <family val="2"/>
          </rPr>
          <t>PENDING P NOEL</t>
        </r>
      </text>
    </comment>
    <comment ref="AE54" authorId="0">
      <text>
        <r>
          <rPr>
            <b/>
            <sz val="9"/>
            <color indexed="81"/>
            <rFont val="Tahoma"/>
            <family val="2"/>
          </rPr>
          <t>JT 27 MEI PENDING</t>
        </r>
      </text>
    </comment>
    <comment ref="C64" authorId="0">
      <text>
        <r>
          <rPr>
            <b/>
            <sz val="9"/>
            <color indexed="81"/>
            <rFont val="Tahoma"/>
            <family val="2"/>
          </rPr>
          <t>BUNGA DIFI MIN + DIFI YIJG APR</t>
        </r>
      </text>
    </comment>
    <comment ref="E64" authorId="0">
      <text>
        <r>
          <rPr>
            <b/>
            <sz val="9"/>
            <color indexed="81"/>
            <rFont val="Tahoma"/>
            <family val="2"/>
          </rPr>
          <t>selisih gt mt min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BUNGA PELUNASAN HSBC</t>
        </r>
      </text>
    </comment>
    <comment ref="Q64" authorId="0">
      <text>
        <r>
          <rPr>
            <b/>
            <sz val="9"/>
            <color indexed="81"/>
            <rFont val="Tahoma"/>
            <family val="2"/>
          </rPr>
          <t>CICIL DIS COST MEI '20</t>
        </r>
      </text>
    </comment>
    <comment ref="R64" authorId="0">
      <text>
        <r>
          <rPr>
            <b/>
            <sz val="9"/>
            <color indexed="81"/>
            <rFont val="Tahoma"/>
            <family val="2"/>
          </rPr>
          <t>PELUNASAN DIS COS MEI '20</t>
        </r>
      </text>
    </comment>
    <comment ref="S64" authorId="0">
      <text>
        <r>
          <rPr>
            <b/>
            <sz val="9"/>
            <color indexed="81"/>
            <rFont val="Tahoma"/>
            <family val="2"/>
          </rPr>
          <t>CICIL DIS COST JUN '20</t>
        </r>
      </text>
    </comment>
    <comment ref="T64" authorId="0">
      <text>
        <r>
          <rPr>
            <b/>
            <sz val="9"/>
            <color indexed="81"/>
            <rFont val="Tahoma"/>
            <family val="2"/>
          </rPr>
          <t>PELUNASAN DIS COST JUN</t>
        </r>
      </text>
    </comment>
    <comment ref="U64" authorId="0">
      <text>
        <r>
          <rPr>
            <b/>
            <sz val="9"/>
            <color indexed="81"/>
            <rFont val="Tahoma"/>
            <family val="2"/>
          </rPr>
          <t>PINDAH DANA</t>
        </r>
      </text>
    </comment>
    <comment ref="Y64" authorId="0">
      <text>
        <r>
          <rPr>
            <b/>
            <sz val="9"/>
            <color indexed="81"/>
            <rFont val="Tahoma"/>
            <family val="2"/>
          </rPr>
          <t>CICIL DIS COST AGT '20</t>
        </r>
      </text>
    </comment>
    <comment ref="AA64" authorId="0">
      <text>
        <r>
          <rPr>
            <b/>
            <sz val="9"/>
            <color indexed="81"/>
            <rFont val="Tahoma"/>
            <family val="2"/>
          </rPr>
          <t>PINDAH DANA + PELUNASAN DIS COST</t>
        </r>
      </text>
    </comment>
    <comment ref="AB64" authorId="0">
      <text>
        <r>
          <rPr>
            <b/>
            <sz val="9"/>
            <color indexed="81"/>
            <rFont val="Tahoma"/>
            <family val="2"/>
          </rPr>
          <t>CICIL DIS COST SEP '20</t>
        </r>
      </text>
    </comment>
    <comment ref="AE64" authorId="0">
      <text>
        <r>
          <rPr>
            <b/>
            <sz val="9"/>
            <color indexed="81"/>
            <rFont val="Tahoma"/>
            <family val="2"/>
          </rPr>
          <t>BUNGA HSBC + UOB</t>
        </r>
      </text>
    </comment>
    <comment ref="F65" authorId="0">
      <text>
        <r>
          <rPr>
            <b/>
            <sz val="9"/>
            <color indexed="81"/>
            <rFont val="Tahoma"/>
            <family val="2"/>
          </rPr>
          <t>BUNGA PLNSAN</t>
        </r>
      </text>
    </comment>
    <comment ref="G65" authorId="0">
      <text>
        <r>
          <rPr>
            <b/>
            <sz val="9"/>
            <color indexed="81"/>
            <rFont val="Tahoma"/>
            <family val="2"/>
          </rPr>
          <t>PINDAH DANA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>BG SBG</t>
        </r>
      </text>
    </comment>
    <comment ref="U65" authorId="0">
      <text>
        <r>
          <rPr>
            <b/>
            <sz val="9"/>
            <color indexed="81"/>
            <rFont val="Tahoma"/>
            <family val="2"/>
          </rPr>
          <t>CICIL DIS COST JUL '20</t>
        </r>
      </text>
    </comment>
    <comment ref="X65" authorId="0">
      <text>
        <r>
          <rPr>
            <b/>
            <sz val="9"/>
            <color indexed="81"/>
            <rFont val="Tahoma"/>
            <family val="2"/>
          </rPr>
          <t>PELUNASAN DIS COST JUL '20</t>
        </r>
      </text>
    </comment>
    <comment ref="AE65" authorId="0">
      <text>
        <r>
          <rPr>
            <b/>
            <sz val="9"/>
            <color indexed="81"/>
            <rFont val="Tahoma"/>
            <family val="2"/>
          </rPr>
          <t xml:space="preserve">3PELUNASAN DIS COST SEP 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PINDAH DANA</t>
        </r>
      </text>
    </comment>
    <comment ref="AE66" authorId="0">
      <text>
        <r>
          <rPr>
            <b/>
            <sz val="9"/>
            <color indexed="81"/>
            <rFont val="Tahoma"/>
            <family val="2"/>
          </rPr>
          <t>DIS COS MEI-JUN</t>
        </r>
      </text>
    </comment>
  </commentList>
</comments>
</file>

<file path=xl/comments9.xml><?xml version="1.0" encoding="utf-8"?>
<comments xmlns="http://schemas.openxmlformats.org/spreadsheetml/2006/main">
  <authors>
    <author>300-20</author>
  </authors>
  <commentList>
    <comment ref="D7" authorId="0">
      <text>
        <r>
          <rPr>
            <b/>
            <sz val="9"/>
            <color indexed="81"/>
            <rFont val="Tahoma"/>
            <family val="2"/>
          </rPr>
          <t xml:space="preserve">cash agb w 1 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CASH AGB W2
PENDING 080621</t>
        </r>
      </text>
    </comment>
    <comment ref="X7" authorId="0">
      <text>
        <r>
          <rPr>
            <b/>
            <sz val="9"/>
            <color indexed="81"/>
            <rFont val="Tahoma"/>
            <family val="2"/>
          </rPr>
          <t>CBD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-KLAIM 
JT 17 JUN '21</t>
        </r>
      </text>
    </comment>
    <comment ref="AF12" authorId="0">
      <text>
        <r>
          <rPr>
            <b/>
            <sz val="9"/>
            <color indexed="81"/>
            <rFont val="Tahoma"/>
            <family val="2"/>
          </rPr>
          <t>JT 11 JUN DIPENDING</t>
        </r>
      </text>
    </comment>
    <comment ref="K18" authorId="0">
      <text>
        <r>
          <rPr>
            <b/>
            <sz val="9"/>
            <color indexed="81"/>
            <rFont val="Tahoma"/>
            <family val="2"/>
          </rPr>
          <t xml:space="preserve">CBD DBW 9 JUN </t>
        </r>
      </text>
    </comment>
    <comment ref="M18" authorId="0">
      <text>
        <r>
          <rPr>
            <b/>
            <sz val="9"/>
            <color indexed="81"/>
            <rFont val="Tahoma"/>
            <family val="2"/>
          </rPr>
          <t>CBD</t>
        </r>
      </text>
    </comment>
    <comment ref="X18" authorId="0">
      <text>
        <r>
          <rPr>
            <b/>
            <sz val="9"/>
            <color indexed="81"/>
            <rFont val="Tahoma"/>
            <family val="2"/>
          </rPr>
          <t>CBD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JT 27 MEI 
PENDING INV ASLI BELUM ADA
inv datang 29 mei</t>
        </r>
      </text>
    </comment>
    <comment ref="Z23" authorId="0">
      <text>
        <r>
          <rPr>
            <b/>
            <sz val="9"/>
            <color indexed="81"/>
            <rFont val="Tahoma"/>
            <family val="2"/>
          </rPr>
          <t>SELISIH GT MT ISI 
JT 24 JUN : 187.834.602</t>
        </r>
      </text>
    </comment>
    <comment ref="R28" authorId="0">
      <text>
        <r>
          <rPr>
            <b/>
            <sz val="9"/>
            <color indexed="81"/>
            <rFont val="Tahoma"/>
            <family val="2"/>
          </rPr>
          <t>-KLAIM 
JT 16 JUN '21</t>
        </r>
      </text>
    </comment>
    <comment ref="AD28" authorId="0">
      <text>
        <r>
          <rPr>
            <b/>
            <sz val="9"/>
            <color indexed="81"/>
            <rFont val="Tahoma"/>
            <family val="2"/>
          </rPr>
          <t>JT 28 JUN &amp; 29 JUN</t>
        </r>
      </text>
    </comment>
    <comment ref="AF31" authorId="0">
      <text>
        <r>
          <rPr>
            <b/>
            <sz val="9"/>
            <color indexed="81"/>
            <rFont val="Tahoma"/>
            <family val="2"/>
          </rPr>
          <t>JT 20 JUN
REVIEW 5 JUL P AGUNG</t>
        </r>
      </text>
    </comment>
    <comment ref="AF33" authorId="0">
      <text>
        <r>
          <rPr>
            <b/>
            <sz val="9"/>
            <color indexed="81"/>
            <rFont val="Tahoma"/>
            <family val="2"/>
          </rPr>
          <t>JT 22 APR
TANYA P AGUNG 30 APR
EVALUAS W 2 MEI
EVALUASI W 4 MEI SENIN
22.869.000 DIANGGAP LUNAS MSP MENUNGGU RINCIAN MSP</t>
        </r>
      </text>
    </comment>
    <comment ref="AF34" authorId="0">
      <text>
        <r>
          <rPr>
            <b/>
            <sz val="9"/>
            <color indexed="81"/>
            <rFont val="Tahoma"/>
            <family val="2"/>
          </rPr>
          <t>JT 7 MEI 
EVALUASI W 2 MEI
EVALUASI W 4 MEI SENIN</t>
        </r>
      </text>
    </comment>
    <comment ref="AF35" authorId="0">
      <text>
        <r>
          <rPr>
            <b/>
            <sz val="9"/>
            <color indexed="81"/>
            <rFont val="Tahoma"/>
            <family val="2"/>
          </rPr>
          <t>JT 9 MEI '21
EVALUASI TGL 180521
EVALUASI W 4 MEI SENIN</t>
        </r>
      </text>
    </comment>
    <comment ref="AF36" authorId="0">
      <text>
        <r>
          <rPr>
            <b/>
            <sz val="9"/>
            <color indexed="81"/>
            <rFont val="Tahoma"/>
            <family val="2"/>
          </rPr>
          <t>JT 11 MEI '21
EVALUASI TGL 180521
EVALUASI W 4 MEI SENIN</t>
        </r>
      </text>
    </comment>
    <comment ref="AF40" authorId="0">
      <text>
        <r>
          <rPr>
            <b/>
            <sz val="9"/>
            <color indexed="81"/>
            <rFont val="Tahoma"/>
            <family val="2"/>
          </rPr>
          <t>JT 14 MEI 
EVALUASI AWAL JUN</t>
        </r>
      </text>
    </comment>
    <comment ref="AF41" authorId="0">
      <text>
        <r>
          <rPr>
            <b/>
            <sz val="9"/>
            <color indexed="81"/>
            <rFont val="Tahoma"/>
            <family val="2"/>
          </rPr>
          <t>JT 16 MEI
EVALUASI AWAL JUNI</t>
        </r>
      </text>
    </comment>
    <comment ref="AF42" authorId="0">
      <text>
        <r>
          <rPr>
            <b/>
            <sz val="9"/>
            <color indexed="81"/>
            <rFont val="Tahoma"/>
            <family val="2"/>
          </rPr>
          <t>JT 20 MEI 
EVALUASI AWAL JUNI</t>
        </r>
      </text>
    </comment>
    <comment ref="AF44" authorId="0">
      <text>
        <r>
          <rPr>
            <b/>
            <sz val="9"/>
            <color indexed="81"/>
            <rFont val="Tahoma"/>
            <family val="2"/>
          </rPr>
          <t>DI AMS CANDRA JT 23 APR
DIPENDING LAGI NUNGGU AGING DR RISYA</t>
        </r>
      </text>
    </comment>
    <comment ref="T45" authorId="0">
      <text>
        <r>
          <rPr>
            <b/>
            <sz val="9"/>
            <color indexed="81"/>
            <rFont val="Tahoma"/>
            <family val="2"/>
          </rPr>
          <t>PERALIHAN DARI LS KE FS</t>
        </r>
      </text>
    </comment>
    <comment ref="AF46" authorId="0">
      <text>
        <r>
          <rPr>
            <b/>
            <sz val="9"/>
            <color indexed="81"/>
            <rFont val="Tahoma"/>
            <family val="2"/>
          </rPr>
          <t>JT 19 APR
EVALUASI TGL 26 APR
EVALUASI AKHIR APR '21
EVALUAS W 3 MEI
EVALUASI W 4 MEI SENIN</t>
        </r>
      </text>
    </comment>
    <comment ref="AF47" authorId="0">
      <text>
        <r>
          <rPr>
            <b/>
            <sz val="9"/>
            <color indexed="81"/>
            <rFont val="Tahoma"/>
            <family val="2"/>
          </rPr>
          <t>JT 9 MEI
EVALUASI W 4 MEI SENIN</t>
        </r>
      </text>
    </comment>
    <comment ref="AF48" authorId="0">
      <text>
        <r>
          <rPr>
            <b/>
            <sz val="9"/>
            <color indexed="81"/>
            <rFont val="Tahoma"/>
            <family val="2"/>
          </rPr>
          <t>JT 11 MEI
EVALUASI W 4 MEI SENIN</t>
        </r>
      </text>
    </comment>
    <comment ref="AF49" authorId="0">
      <text>
        <r>
          <rPr>
            <b/>
            <sz val="9"/>
            <color indexed="81"/>
            <rFont val="Tahoma"/>
            <family val="2"/>
          </rPr>
          <t>JT 12 MEI
EVALUASI W 4 MEI SENIN</t>
        </r>
      </text>
    </comment>
    <comment ref="AF55" authorId="0">
      <text>
        <r>
          <rPr>
            <b/>
            <sz val="9"/>
            <color indexed="81"/>
            <rFont val="Tahoma"/>
            <family val="2"/>
          </rPr>
          <t>PENDING P NOEL</t>
        </r>
      </text>
    </comment>
    <comment ref="AF56" authorId="0">
      <text>
        <r>
          <rPr>
            <b/>
            <sz val="9"/>
            <color indexed="81"/>
            <rFont val="Tahoma"/>
            <family val="2"/>
          </rPr>
          <t>JT 27 MEI PENDING</t>
        </r>
      </text>
    </comment>
    <comment ref="AF60" authorId="0">
      <text>
        <r>
          <rPr>
            <b/>
            <sz val="9"/>
            <color indexed="81"/>
            <rFont val="Tahoma"/>
            <family val="2"/>
          </rPr>
          <t>JT 24 MEI - 26 MEI</t>
        </r>
      </text>
    </comment>
    <comment ref="D66" authorId="0">
      <text>
        <r>
          <rPr>
            <b/>
            <sz val="9"/>
            <color indexed="81"/>
            <rFont val="Tahoma"/>
            <family val="2"/>
          </rPr>
          <t>cicil dis cost okt '20</t>
        </r>
      </text>
    </comment>
    <comment ref="E66" authorId="0">
      <text>
        <r>
          <rPr>
            <b/>
            <sz val="9"/>
            <color indexed="81"/>
            <rFont val="Tahoma"/>
            <family val="2"/>
          </rPr>
          <t>PELUNASN DIS COST OKT '20</t>
        </r>
      </text>
    </comment>
    <comment ref="K66" authorId="0">
      <text>
        <r>
          <rPr>
            <b/>
            <sz val="9"/>
            <color indexed="81"/>
            <rFont val="Tahoma"/>
            <family val="2"/>
          </rPr>
          <t xml:space="preserve">090621 cicil 200 jt dis cost nov </t>
        </r>
      </text>
    </comment>
    <comment ref="L66" authorId="0">
      <text>
        <r>
          <rPr>
            <b/>
            <sz val="9"/>
            <color indexed="81"/>
            <rFont val="Tahoma"/>
            <family val="2"/>
          </rPr>
          <t>PELUNASAN DIS COST NOV</t>
        </r>
      </text>
    </comment>
    <comment ref="M66" authorId="0">
      <text>
        <r>
          <rPr>
            <b/>
            <sz val="9"/>
            <color indexed="81"/>
            <rFont val="Tahoma"/>
            <family val="2"/>
          </rPr>
          <t>CICIL DIS COST DES '20 + BUNGA PELUNASAN HSBC</t>
        </r>
      </text>
    </comment>
    <comment ref="P66" authorId="0">
      <text>
        <r>
          <rPr>
            <b/>
            <sz val="9"/>
            <color indexed="81"/>
            <rFont val="Tahoma"/>
            <family val="2"/>
          </rPr>
          <t>ASURANSI DAYIN MSS + ASURANSI DAYIN MSS, MJP, MPP + BUNGA PELUNASAN HSBC</t>
        </r>
      </text>
    </comment>
    <comment ref="Q66" authorId="0">
      <text>
        <r>
          <rPr>
            <b/>
            <sz val="9"/>
            <color indexed="81"/>
            <rFont val="Tahoma"/>
            <family val="2"/>
          </rPr>
          <t>bunga pelunasan hsbc</t>
        </r>
      </text>
    </comment>
    <comment ref="R66" authorId="0">
      <text>
        <r>
          <rPr>
            <b/>
            <sz val="9"/>
            <color indexed="81"/>
            <rFont val="Tahoma"/>
            <family val="2"/>
          </rPr>
          <t>BUNGA PELUNASAN UOB</t>
        </r>
      </text>
    </comment>
    <comment ref="X66" authorId="0">
      <text>
        <r>
          <rPr>
            <b/>
            <sz val="9"/>
            <color indexed="81"/>
            <rFont val="Tahoma"/>
            <family val="2"/>
          </rPr>
          <t>PELUNASAN UOB</t>
        </r>
      </text>
    </comment>
    <comment ref="AE66" authorId="0">
      <text>
        <r>
          <rPr>
            <b/>
            <sz val="9"/>
            <color indexed="81"/>
            <rFont val="Tahoma"/>
            <family val="2"/>
          </rPr>
          <t xml:space="preserve">SWADHARMA </t>
        </r>
      </text>
    </comment>
    <comment ref="AF66" authorId="0">
      <text>
        <r>
          <rPr>
            <b/>
            <sz val="9"/>
            <color indexed="81"/>
            <rFont val="Tahoma"/>
            <family val="2"/>
          </rPr>
          <t>pindah dana</t>
        </r>
      </text>
    </comment>
    <comment ref="D67" authorId="0">
      <text>
        <r>
          <rPr>
            <b/>
            <sz val="9"/>
            <color indexed="81"/>
            <rFont val="Tahoma"/>
            <family val="2"/>
          </rPr>
          <t>bunga difi min - yijg mei '21</t>
        </r>
      </text>
    </comment>
    <comment ref="M67" authorId="0">
      <text>
        <r>
          <rPr>
            <b/>
            <sz val="9"/>
            <color indexed="81"/>
            <rFont val="Tahoma"/>
            <family val="2"/>
          </rPr>
          <t>BUNGA DIFI FBI JUN '21</t>
        </r>
      </text>
    </comment>
    <comment ref="P67" authorId="0">
      <text>
        <r>
          <rPr>
            <b/>
            <sz val="9"/>
            <color indexed="81"/>
            <rFont val="Tahoma"/>
            <family val="2"/>
          </rPr>
          <t>PELUNASAN DIS COST DES '20 + 50% JASA PENILAIAN ASET</t>
        </r>
      </text>
    </comment>
    <comment ref="X67" authorId="0">
      <text>
        <r>
          <rPr>
            <b/>
            <sz val="9"/>
            <color indexed="81"/>
            <rFont val="Tahoma"/>
            <family val="2"/>
          </rPr>
          <t>PELUNASAN HSBC</t>
        </r>
      </text>
    </comment>
    <comment ref="AD67" authorId="0">
      <text>
        <r>
          <rPr>
            <b/>
            <sz val="9"/>
            <color indexed="81"/>
            <rFont val="Tahoma"/>
            <family val="2"/>
          </rPr>
          <t xml:space="preserve">+ MTX GEDUNG BBM +  PINDAH DANA </t>
        </r>
      </text>
    </comment>
    <comment ref="AE67" authorId="0">
      <text>
        <r>
          <rPr>
            <b/>
            <sz val="9"/>
            <color indexed="81"/>
            <rFont val="Tahoma"/>
            <family val="2"/>
          </rPr>
          <t>BUNGA PELUNASAN UOB + HSBC</t>
        </r>
      </text>
    </comment>
    <comment ref="AF68" authorId="0">
      <text>
        <r>
          <rPr>
            <b/>
            <sz val="9"/>
            <color indexed="81"/>
            <rFont val="Tahoma"/>
            <family val="2"/>
          </rPr>
          <t>DIS COS MEI-JUN</t>
        </r>
      </text>
    </comment>
  </commentList>
</comments>
</file>

<file path=xl/comments10.xml><?xml version="1.0" encoding="utf-8"?>
<comments xmlns="http://schemas.openxmlformats.org/spreadsheetml/2006/main">
  <authors>
    <author>300-20</author>
  </authors>
  <commentList>
    <comment ref="AE13" authorId="0">
      <text>
        <r>
          <rPr>
            <b/>
            <sz val="9"/>
            <color indexed="81"/>
            <rFont val="Tahoma"/>
            <family val="2"/>
          </rPr>
          <t>JT 11 JUN DIPENDING</t>
        </r>
      </text>
    </comment>
    <comment ref="AB28" authorId="0">
      <text>
        <r>
          <rPr>
            <b/>
            <sz val="9"/>
            <color indexed="81"/>
            <rFont val="Tahoma"/>
            <family val="2"/>
          </rPr>
          <t xml:space="preserve">bayar tgl 26 jul </t>
        </r>
      </text>
    </comment>
    <comment ref="D31" authorId="0">
      <text>
        <r>
          <rPr>
            <b/>
            <sz val="9"/>
            <color indexed="81"/>
            <rFont val="Tahoma"/>
            <family val="2"/>
          </rPr>
          <t>7 HR</t>
        </r>
      </text>
    </comment>
    <comment ref="H31" authorId="0">
      <text>
        <r>
          <rPr>
            <b/>
            <sz val="9"/>
            <color indexed="81"/>
            <rFont val="Tahoma"/>
            <family val="2"/>
          </rPr>
          <t>7 HR</t>
        </r>
      </text>
    </comment>
    <comment ref="O32" authorId="0">
      <text>
        <r>
          <rPr>
            <b/>
            <sz val="9"/>
            <color indexed="81"/>
            <rFont val="Tahoma"/>
            <family val="2"/>
          </rPr>
          <t>SELISIH GT MT MIN</t>
        </r>
      </text>
    </comment>
    <comment ref="AB32" authorId="0">
      <text>
        <r>
          <rPr>
            <b/>
            <sz val="9"/>
            <color indexed="81"/>
            <rFont val="Tahoma"/>
            <family val="2"/>
          </rPr>
          <t>SELISIH GT MT MIN MEI &amp; SELISIH GT MT JAN-MAR KANVAS</t>
        </r>
      </text>
    </comment>
    <comment ref="AF34" authorId="0">
      <text>
        <r>
          <rPr>
            <b/>
            <sz val="9"/>
            <color indexed="81"/>
            <rFont val="Tahoma"/>
            <family val="2"/>
          </rPr>
          <t>JT 20 JUN
REVIEW 5 JUL P AGUNG
PENDING LAGI NUNGGU KONFIRM</t>
        </r>
      </text>
    </comment>
    <comment ref="AF35" authorId="0">
      <text>
        <r>
          <rPr>
            <b/>
            <sz val="9"/>
            <color indexed="81"/>
            <rFont val="Tahoma"/>
            <family val="2"/>
          </rPr>
          <t>REVIEW 12 JUL '21</t>
        </r>
      </text>
    </comment>
    <comment ref="D37" authorId="0">
      <text>
        <r>
          <rPr>
            <b/>
            <sz val="9"/>
            <color indexed="81"/>
            <rFont val="Tahoma"/>
            <family val="2"/>
          </rPr>
          <t>JT 22 APR
TANYA P AGUNG 30 APR
EVALUAS W 2 MEI
EVALUASI W 4 MEI SENIN
22.869.000 DIANGGAP LUNAS MSP MENUNGGU RINCIAN MSP</t>
        </r>
      </text>
    </comment>
    <comment ref="AF38" authorId="0">
      <text>
        <r>
          <rPr>
            <b/>
            <sz val="9"/>
            <color indexed="81"/>
            <rFont val="Tahoma"/>
            <family val="2"/>
          </rPr>
          <t>JT 7 MEI 
EVALUASI W 2 MEI
EVALUASI W 4 MEI SENIN</t>
        </r>
      </text>
    </comment>
    <comment ref="AF39" authorId="0">
      <text>
        <r>
          <rPr>
            <b/>
            <sz val="9"/>
            <color indexed="81"/>
            <rFont val="Tahoma"/>
            <family val="2"/>
          </rPr>
          <t>JT 9 MEI '21
EVALUASI TGL 180521
EVALUASI W 4 MEI SENIN</t>
        </r>
      </text>
    </comment>
    <comment ref="AF40" authorId="0">
      <text>
        <r>
          <rPr>
            <b/>
            <sz val="9"/>
            <color indexed="81"/>
            <rFont val="Tahoma"/>
            <family val="2"/>
          </rPr>
          <t>JT 11 MEI '21
EVALUASI TGL 180521
EVALUASI W 4 MEI SENIN</t>
        </r>
      </text>
    </comment>
    <comment ref="R48" authorId="0">
      <text>
        <r>
          <rPr>
            <b/>
            <sz val="9"/>
            <color indexed="81"/>
            <rFont val="Tahoma"/>
            <family val="2"/>
          </rPr>
          <t>JT 14 MEI 
EVALUASI AWAL JUN</t>
        </r>
      </text>
    </comment>
    <comment ref="AF49" authorId="0">
      <text>
        <r>
          <rPr>
            <b/>
            <sz val="9"/>
            <color indexed="81"/>
            <rFont val="Tahoma"/>
            <family val="2"/>
          </rPr>
          <t>JT 16 MEI
EVALUASI AWAL JUNI</t>
        </r>
      </text>
    </comment>
    <comment ref="AF50" authorId="0">
      <text>
        <r>
          <rPr>
            <b/>
            <sz val="9"/>
            <color indexed="81"/>
            <rFont val="Tahoma"/>
            <family val="2"/>
          </rPr>
          <t>JT 20 MEI 
EVALUASI AWAL JUNI</t>
        </r>
      </text>
    </comment>
    <comment ref="G57" authorId="0">
      <text>
        <r>
          <rPr>
            <b/>
            <sz val="9"/>
            <color indexed="81"/>
            <rFont val="Tahoma"/>
            <family val="2"/>
          </rPr>
          <t>DI AMS CANDRA JT 23 APR
DIPENDING LAGI NUNGGU AGING DR RISYA</t>
        </r>
      </text>
    </comment>
    <comment ref="AF62" authorId="0">
      <text>
        <r>
          <rPr>
            <b/>
            <sz val="9"/>
            <color indexed="81"/>
            <rFont val="Tahoma"/>
            <family val="2"/>
          </rPr>
          <t>JT 19 APR
EVALUASI TGL 26 APR
EVALUASI AKHIR APR '21
EVALUAS W 3 MEI
EVALUASI W 4 MEI SENIN</t>
        </r>
      </text>
    </comment>
    <comment ref="AF63" authorId="0">
      <text>
        <r>
          <rPr>
            <b/>
            <sz val="9"/>
            <color indexed="81"/>
            <rFont val="Tahoma"/>
            <family val="2"/>
          </rPr>
          <t>JT 9 MEI
EVALUASI W 4 MEI SENIN</t>
        </r>
      </text>
    </comment>
    <comment ref="AF64" authorId="0">
      <text>
        <r>
          <rPr>
            <b/>
            <sz val="9"/>
            <color indexed="81"/>
            <rFont val="Tahoma"/>
            <family val="2"/>
          </rPr>
          <t>JT 11 MEI
EVALUASI W 4 MEI SENIN</t>
        </r>
      </text>
    </comment>
    <comment ref="AF65" authorId="0">
      <text>
        <r>
          <rPr>
            <b/>
            <sz val="9"/>
            <color indexed="81"/>
            <rFont val="Tahoma"/>
            <family val="2"/>
          </rPr>
          <t>JT 12 MEI
EVALUASI W 4 MEI SENIN</t>
        </r>
      </text>
    </comment>
    <comment ref="P69" authorId="0">
      <text>
        <r>
          <rPr>
            <b/>
            <sz val="9"/>
            <color indexed="81"/>
            <rFont val="Tahoma"/>
            <family val="2"/>
          </rPr>
          <t>JT 14-21 JUL PERCEPATAN BAYAR POTONG 2% TANPA PPN</t>
        </r>
      </text>
    </comment>
    <comment ref="Y69" authorId="0">
      <text>
        <r>
          <rPr>
            <b/>
            <sz val="9"/>
            <color indexed="81"/>
            <rFont val="Tahoma"/>
            <family val="2"/>
          </rPr>
          <t>percepatan</t>
        </r>
      </text>
    </comment>
    <comment ref="AF69" authorId="0">
      <text>
        <r>
          <rPr>
            <b/>
            <sz val="9"/>
            <color indexed="81"/>
            <rFont val="Tahoma"/>
            <family val="2"/>
          </rPr>
          <t>TGL 30 JUL</t>
        </r>
      </text>
    </comment>
    <comment ref="AF71" authorId="0">
      <text>
        <r>
          <rPr>
            <b/>
            <sz val="9"/>
            <color indexed="81"/>
            <rFont val="Tahoma"/>
            <family val="2"/>
          </rPr>
          <t>PENDING P NOEL</t>
        </r>
      </text>
    </comment>
    <comment ref="R72" authorId="0">
      <text>
        <r>
          <rPr>
            <b/>
            <sz val="9"/>
            <color indexed="81"/>
            <rFont val="Tahoma"/>
            <family val="2"/>
          </rPr>
          <t>JT 27 MEI PENDING</t>
        </r>
      </text>
    </comment>
    <comment ref="AF84" authorId="0">
      <text>
        <r>
          <rPr>
            <b/>
            <sz val="9"/>
            <color indexed="81"/>
            <rFont val="Tahoma"/>
            <family val="2"/>
          </rPr>
          <t>JT 24 MEI - 26 MEI</t>
        </r>
      </text>
    </comment>
    <comment ref="E90" authorId="0">
      <text>
        <r>
          <rPr>
            <b/>
            <sz val="9"/>
            <color indexed="81"/>
            <rFont val="Tahoma"/>
            <family val="2"/>
          </rPr>
          <t>pindah dana</t>
        </r>
      </text>
    </comment>
    <comment ref="I90" authorId="0">
      <text>
        <r>
          <rPr>
            <b/>
            <sz val="9"/>
            <color indexed="81"/>
            <rFont val="Tahoma"/>
            <family val="2"/>
          </rPr>
          <t>BG MI</t>
        </r>
      </text>
    </comment>
    <comment ref="N90" authorId="0">
      <text>
        <r>
          <rPr>
            <b/>
            <sz val="9"/>
            <color indexed="81"/>
            <rFont val="Tahoma"/>
            <family val="2"/>
          </rPr>
          <t xml:space="preserve">BG AXA </t>
        </r>
      </text>
    </comment>
    <comment ref="AG92" authorId="0">
      <text>
        <r>
          <rPr>
            <b/>
            <sz val="9"/>
            <color indexed="81"/>
            <rFont val="Tahoma"/>
            <family val="2"/>
          </rPr>
          <t>DIS COS MEI-JUN</t>
        </r>
      </text>
    </comment>
  </commentList>
</comments>
</file>

<file path=xl/comments11.xml><?xml version="1.0" encoding="utf-8"?>
<comments xmlns="http://schemas.openxmlformats.org/spreadsheetml/2006/main">
  <authors>
    <author>300-20</author>
  </authors>
  <commentList>
    <comment ref="AF33" authorId="0">
      <text>
        <r>
          <rPr>
            <b/>
            <sz val="9"/>
            <color indexed="81"/>
            <rFont val="Tahoma"/>
            <family val="2"/>
          </rPr>
          <t xml:space="preserve">PENDING 9 SEP
</t>
        </r>
      </text>
    </comment>
    <comment ref="F37" authorId="0">
      <text>
        <r>
          <rPr>
            <b/>
            <sz val="9"/>
            <color indexed="81"/>
            <rFont val="Tahoma"/>
            <family val="2"/>
          </rPr>
          <t xml:space="preserve">BAYAR TGL 5 AGT </t>
        </r>
      </text>
    </comment>
    <comment ref="G38" authorId="0">
      <text>
        <r>
          <rPr>
            <b/>
            <sz val="9"/>
            <color indexed="81"/>
            <rFont val="Tahoma"/>
            <family val="2"/>
          </rPr>
          <t>INV ASLI BLM DATANG 
JT MENURUT INV 23 JUL '21</t>
        </r>
      </text>
    </comment>
    <comment ref="M38" authorId="0">
      <text>
        <r>
          <rPr>
            <b/>
            <sz val="9"/>
            <color indexed="81"/>
            <rFont val="Tahoma"/>
            <family val="2"/>
          </rPr>
          <t>SL GT MT JUN</t>
        </r>
      </text>
    </comment>
    <comment ref="G39" authorId="0">
      <text>
        <r>
          <rPr>
            <b/>
            <sz val="9"/>
            <color indexed="81"/>
            <rFont val="Tahoma"/>
            <family val="2"/>
          </rPr>
          <t>JT 14 AGT DARI INV ASLI DATANG 30 JUL '21</t>
        </r>
      </text>
    </comment>
    <comment ref="Q39" authorId="0">
      <text>
        <r>
          <rPr>
            <b/>
            <sz val="9"/>
            <color indexed="81"/>
            <rFont val="Tahoma"/>
            <family val="2"/>
          </rPr>
          <t>SLS HARGA KANVAS JUN '21 TGL 16 AGT</t>
        </r>
      </text>
    </comment>
    <comment ref="AF40" authorId="0">
      <text>
        <r>
          <rPr>
            <b/>
            <sz val="9"/>
            <color indexed="81"/>
            <rFont val="Tahoma"/>
            <family val="2"/>
          </rPr>
          <t>JT 20 JUN
REVIEW 5 JUL P AGUNG
PENDING LAGI NUNGGU KONFIRM</t>
        </r>
      </text>
    </comment>
    <comment ref="AF41" authorId="0">
      <text>
        <r>
          <rPr>
            <b/>
            <sz val="9"/>
            <color indexed="81"/>
            <rFont val="Tahoma"/>
            <family val="2"/>
          </rPr>
          <t>REVIEW 12 JUL '21</t>
        </r>
      </text>
    </comment>
    <comment ref="AF43" authorId="0">
      <text>
        <r>
          <rPr>
            <b/>
            <sz val="9"/>
            <color indexed="81"/>
            <rFont val="Tahoma"/>
            <family val="2"/>
          </rPr>
          <t>JT 7 MEI 
EVALUASI W 2 MEI
EVALUASI W 4 MEI SENIN</t>
        </r>
      </text>
    </comment>
    <comment ref="AF44" authorId="0">
      <text>
        <r>
          <rPr>
            <b/>
            <sz val="9"/>
            <color indexed="81"/>
            <rFont val="Tahoma"/>
            <family val="2"/>
          </rPr>
          <t>JT 9 MEI '21
EVALUASI TGL 180521
EVALUASI W 4 MEI SENIN</t>
        </r>
      </text>
    </comment>
    <comment ref="AF45" authorId="0">
      <text>
        <r>
          <rPr>
            <b/>
            <sz val="9"/>
            <color indexed="81"/>
            <rFont val="Tahoma"/>
            <family val="2"/>
          </rPr>
          <t>JT 11 MEI '21
EVALUASI TGL 180521
EVALUASI W 4 MEI SENIN</t>
        </r>
      </text>
    </comment>
    <comment ref="AF53" authorId="0">
      <text>
        <r>
          <rPr>
            <b/>
            <sz val="9"/>
            <color indexed="81"/>
            <rFont val="Tahoma"/>
            <family val="2"/>
          </rPr>
          <t>JT 16 MEI
EVALUASI AWAL JUNI</t>
        </r>
      </text>
    </comment>
    <comment ref="Q55" authorId="0">
      <text>
        <r>
          <rPr>
            <b/>
            <sz val="9"/>
            <color indexed="81"/>
            <rFont val="Tahoma"/>
            <family val="2"/>
          </rPr>
          <t>JT 20 MEI 
EVALUASI AWAL JUNI</t>
        </r>
      </text>
    </comment>
    <comment ref="K61" authorId="0">
      <text>
        <r>
          <rPr>
            <b/>
            <sz val="9"/>
            <color indexed="81"/>
            <rFont val="Tahoma"/>
            <family val="2"/>
          </rPr>
          <t>SISA DANA TITIPAN</t>
        </r>
      </text>
    </comment>
    <comment ref="AF77" authorId="0">
      <text>
        <r>
          <rPr>
            <b/>
            <sz val="9"/>
            <color indexed="81"/>
            <rFont val="Tahoma"/>
            <family val="2"/>
          </rPr>
          <t>JT 19 APR
EVALUASI TGL 26 APR
EVALUASI AKHIR APR '21
EVALUAS W 3 MEI
EVALUASI W 4 MEI SENIN</t>
        </r>
      </text>
    </comment>
    <comment ref="AF78" authorId="0">
      <text>
        <r>
          <rPr>
            <b/>
            <sz val="9"/>
            <color indexed="81"/>
            <rFont val="Tahoma"/>
            <family val="2"/>
          </rPr>
          <t>JT 9 MEI
EVALUASI W 4 MEI SENIN</t>
        </r>
      </text>
    </comment>
    <comment ref="AF79" authorId="0">
      <text>
        <r>
          <rPr>
            <b/>
            <sz val="9"/>
            <color indexed="81"/>
            <rFont val="Tahoma"/>
            <family val="2"/>
          </rPr>
          <t>JT 11 MEI
EVALUASI W 4 MEI SENIN</t>
        </r>
      </text>
    </comment>
    <comment ref="AF80" authorId="0">
      <text>
        <r>
          <rPr>
            <b/>
            <sz val="9"/>
            <color indexed="81"/>
            <rFont val="Tahoma"/>
            <family val="2"/>
          </rPr>
          <t>JT 12 MEI
EVALUASI W 4 MEI SENIN</t>
        </r>
      </text>
    </comment>
    <comment ref="N84" authorId="0">
      <text>
        <r>
          <rPr>
            <b/>
            <sz val="9"/>
            <color indexed="81"/>
            <rFont val="Tahoma"/>
            <family val="2"/>
          </rPr>
          <t>TGL 13 AGT</t>
        </r>
      </text>
    </comment>
    <comment ref="M87" authorId="0">
      <text>
        <r>
          <rPr>
            <b/>
            <sz val="9"/>
            <color indexed="81"/>
            <rFont val="Tahoma"/>
            <family val="2"/>
          </rPr>
          <t>JT 12 AGT</t>
        </r>
      </text>
    </comment>
    <comment ref="AF88" authorId="0">
      <text>
        <r>
          <rPr>
            <b/>
            <sz val="9"/>
            <color indexed="81"/>
            <rFont val="Tahoma"/>
            <family val="2"/>
          </rPr>
          <t>PENDING P NOEL</t>
        </r>
      </text>
    </comment>
    <comment ref="AF97" authorId="0">
      <text>
        <r>
          <rPr>
            <b/>
            <sz val="9"/>
            <color indexed="81"/>
            <rFont val="Tahoma"/>
            <family val="2"/>
          </rPr>
          <t>JT 24 MEI - 26 MEI</t>
        </r>
      </text>
    </comment>
    <comment ref="C103" authorId="0">
      <text>
        <r>
          <rPr>
            <b/>
            <sz val="9"/>
            <color indexed="81"/>
            <rFont val="Tahoma"/>
            <family val="2"/>
          </rPr>
          <t>SISA DANA TITIPAN ISWAHYUDI RDSI</t>
        </r>
      </text>
    </comment>
    <comment ref="X104" authorId="0">
      <text>
        <r>
          <rPr>
            <b/>
            <sz val="9"/>
            <color indexed="81"/>
            <rFont val="Tahoma"/>
            <family val="2"/>
          </rPr>
          <t>BG ABC + BG DBW</t>
        </r>
      </text>
    </comment>
    <comment ref="AG106" authorId="0">
      <text>
        <r>
          <rPr>
            <b/>
            <sz val="9"/>
            <color indexed="81"/>
            <rFont val="Tahoma"/>
            <family val="2"/>
          </rPr>
          <t>DIS COS MEI-JUN</t>
        </r>
      </text>
    </comment>
  </commentList>
</comments>
</file>

<file path=xl/comments12.xml><?xml version="1.0" encoding="utf-8"?>
<comments xmlns="http://schemas.openxmlformats.org/spreadsheetml/2006/main">
  <authors>
    <author>300-20</author>
  </authors>
  <commentList>
    <comment ref="E7" authorId="0">
      <text>
        <r>
          <rPr>
            <b/>
            <sz val="9"/>
            <color indexed="81"/>
            <rFont val="Tahoma"/>
            <family val="2"/>
          </rPr>
          <t>TGL 3 SEP</t>
        </r>
      </text>
    </comment>
    <comment ref="K35" authorId="0">
      <text>
        <r>
          <rPr>
            <b/>
            <sz val="9"/>
            <color indexed="81"/>
            <rFont val="Tahoma"/>
            <family val="2"/>
          </rPr>
          <t xml:space="preserve">PENDING 9 SEP
</t>
        </r>
      </text>
    </comment>
    <comment ref="O38" authorId="0">
      <text>
        <r>
          <rPr>
            <b/>
            <sz val="9"/>
            <color indexed="81"/>
            <rFont val="Tahoma"/>
            <family val="2"/>
          </rPr>
          <t>BAYAR TGL 12 SEP</t>
        </r>
      </text>
    </comment>
    <comment ref="O39" authorId="0">
      <text>
        <r>
          <rPr>
            <b/>
            <sz val="9"/>
            <color indexed="81"/>
            <rFont val="Tahoma"/>
            <family val="2"/>
          </rPr>
          <t>BAYAR TGL 12 SEP</t>
        </r>
      </text>
    </comment>
    <comment ref="AG45" authorId="0">
      <text>
        <r>
          <rPr>
            <b/>
            <sz val="9"/>
            <color indexed="81"/>
            <rFont val="Tahoma"/>
            <family val="2"/>
          </rPr>
          <t>JT 20 JUN
REVIEW 5 JUL P AGUNG
PENDING LAGI NUNGGU KONFIRM</t>
        </r>
      </text>
    </comment>
    <comment ref="AG46" authorId="0">
      <text>
        <r>
          <rPr>
            <b/>
            <sz val="9"/>
            <color indexed="81"/>
            <rFont val="Tahoma"/>
            <family val="2"/>
          </rPr>
          <t>REVIEW 12 JUL '21</t>
        </r>
      </text>
    </comment>
    <comment ref="AG48" authorId="0">
      <text>
        <r>
          <rPr>
            <b/>
            <sz val="9"/>
            <color indexed="81"/>
            <rFont val="Tahoma"/>
            <family val="2"/>
          </rPr>
          <t>JT 7 MEI 
EVALUASI W 2 MEI
EVALUASI W 4 MEI SENIN</t>
        </r>
      </text>
    </comment>
    <comment ref="AG49" authorId="0">
      <text>
        <r>
          <rPr>
            <b/>
            <sz val="9"/>
            <color indexed="81"/>
            <rFont val="Tahoma"/>
            <family val="2"/>
          </rPr>
          <t>JT 9 MEI '21
EVALUASI TGL 180521
EVALUASI W 4 MEI SENIN</t>
        </r>
      </text>
    </comment>
    <comment ref="AG50" authorId="0">
      <text>
        <r>
          <rPr>
            <b/>
            <sz val="9"/>
            <color indexed="81"/>
            <rFont val="Tahoma"/>
            <family val="2"/>
          </rPr>
          <t>JT 11 MEI '21
EVALUASI TGL 180521
EVALUASI W 4 MEI SENIN</t>
        </r>
      </text>
    </comment>
    <comment ref="AG58" authorId="0">
      <text>
        <r>
          <rPr>
            <b/>
            <sz val="9"/>
            <color indexed="81"/>
            <rFont val="Tahoma"/>
            <family val="2"/>
          </rPr>
          <t>JT 16 MEI
EVALUASI AWAL JUNI</t>
        </r>
      </text>
    </comment>
    <comment ref="AG87" authorId="0">
      <text>
        <r>
          <rPr>
            <b/>
            <sz val="9"/>
            <color indexed="81"/>
            <rFont val="Tahoma"/>
            <family val="2"/>
          </rPr>
          <t>JT 19 APR
EVALUASI TGL 26 APR
EVALUASI AKHIR APR '21
EVALUAS W 3 MEI
EVALUASI W 4 MEI SENIN</t>
        </r>
      </text>
    </comment>
    <comment ref="AG88" authorId="0">
      <text>
        <r>
          <rPr>
            <b/>
            <sz val="9"/>
            <color indexed="81"/>
            <rFont val="Tahoma"/>
            <family val="2"/>
          </rPr>
          <t>JT 9 MEI
EVALUASI W 4 MEI SENIN</t>
        </r>
      </text>
    </comment>
    <comment ref="AG89" authorId="0">
      <text>
        <r>
          <rPr>
            <b/>
            <sz val="9"/>
            <color indexed="81"/>
            <rFont val="Tahoma"/>
            <family val="2"/>
          </rPr>
          <t>JT 12 MEI
EVALUASI W 4 MEI SENIN</t>
        </r>
      </text>
    </comment>
    <comment ref="L91" authorId="0">
      <text>
        <r>
          <rPr>
            <b/>
            <sz val="9"/>
            <color indexed="81"/>
            <rFont val="Tahoma"/>
            <family val="2"/>
          </rPr>
          <t>JT 22-30 SEP
BYR KPN BLM TAU</t>
        </r>
      </text>
    </comment>
    <comment ref="AG104" authorId="0">
      <text>
        <r>
          <rPr>
            <b/>
            <sz val="9"/>
            <color indexed="81"/>
            <rFont val="Tahoma"/>
            <family val="2"/>
          </rPr>
          <t>JT 24 MEI - 26 MEI</t>
        </r>
      </text>
    </comment>
    <comment ref="P111" authorId="0">
      <text>
        <r>
          <rPr>
            <b/>
            <sz val="9"/>
            <color indexed="81"/>
            <rFont val="Tahoma"/>
            <family val="2"/>
          </rPr>
          <t>fasilitas ocbc</t>
        </r>
      </text>
    </comment>
    <comment ref="W111" authorId="0">
      <text>
        <r>
          <rPr>
            <b/>
            <sz val="9"/>
            <color indexed="81"/>
            <rFont val="Tahoma"/>
            <family val="2"/>
          </rPr>
          <t>GRATFIKASI 2020</t>
        </r>
      </text>
    </comment>
  </commentList>
</comments>
</file>

<file path=xl/comments13.xml><?xml version="1.0" encoding="utf-8"?>
<comments xmlns="http://schemas.openxmlformats.org/spreadsheetml/2006/main">
  <authors>
    <author>300-20</author>
  </authors>
  <commentList>
    <comment ref="T15" authorId="0">
      <text>
        <r>
          <rPr>
            <b/>
            <sz val="9"/>
            <color indexed="81"/>
            <rFont val="Tahoma"/>
            <family val="2"/>
          </rPr>
          <t>TABUNGAN 418.762.800</t>
        </r>
      </text>
    </comment>
    <comment ref="F38" authorId="0">
      <text>
        <r>
          <rPr>
            <b/>
            <sz val="9"/>
            <color indexed="81"/>
            <rFont val="Tahoma"/>
            <family val="2"/>
          </rPr>
          <t>JT 4 OKT</t>
        </r>
      </text>
    </comment>
    <comment ref="F39" authorId="0">
      <text>
        <r>
          <rPr>
            <b/>
            <sz val="9"/>
            <color indexed="81"/>
            <rFont val="Tahoma"/>
            <family val="2"/>
          </rPr>
          <t xml:space="preserve">JT 3 DAN 4 OKT 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JT 4 OKT</t>
        </r>
      </text>
    </comment>
    <comment ref="G41" authorId="0">
      <text>
        <r>
          <rPr>
            <b/>
            <sz val="9"/>
            <color indexed="81"/>
            <rFont val="Tahoma"/>
            <family val="2"/>
          </rPr>
          <t>JT 5 OKT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SLS HARGA KANVAS MIN</t>
        </r>
      </text>
    </comment>
    <comment ref="U43" authorId="0">
      <text>
        <r>
          <rPr>
            <b/>
            <sz val="9"/>
            <color indexed="81"/>
            <rFont val="Tahoma"/>
            <family val="2"/>
          </rPr>
          <t>19 OKT</t>
        </r>
      </text>
    </comment>
    <comment ref="AF44" authorId="0">
      <text>
        <r>
          <rPr>
            <b/>
            <sz val="9"/>
            <color indexed="81"/>
            <rFont val="Tahoma"/>
            <family val="2"/>
          </rPr>
          <t>JT 20 JUN
REVIEW 5 JUL P AGUNG
PENDING LAGI NUNGGU KONFIRM</t>
        </r>
      </text>
    </comment>
    <comment ref="AF45" authorId="0">
      <text>
        <r>
          <rPr>
            <b/>
            <sz val="9"/>
            <color indexed="81"/>
            <rFont val="Tahoma"/>
            <family val="2"/>
          </rPr>
          <t>REVIEW 12 JUL '21</t>
        </r>
      </text>
    </comment>
    <comment ref="AF46" authorId="0">
      <text>
        <r>
          <rPr>
            <b/>
            <sz val="9"/>
            <color indexed="81"/>
            <rFont val="Tahoma"/>
            <family val="2"/>
          </rPr>
          <t>JT 16 MEI
EVALUASI AWAL JUNI</t>
        </r>
      </text>
    </comment>
    <comment ref="AF78" authorId="0">
      <text>
        <r>
          <rPr>
            <b/>
            <sz val="9"/>
            <color indexed="81"/>
            <rFont val="Tahoma"/>
            <family val="2"/>
          </rPr>
          <t>JT 19 APR
EVALUASI TGL 26 APR
EVALUASI AKHIR APR '21
EVALUAS W 3 MEI
EVALUASI W 4 MEI SENIN</t>
        </r>
      </text>
    </comment>
    <comment ref="AF79" authorId="0">
      <text>
        <r>
          <rPr>
            <b/>
            <sz val="9"/>
            <color indexed="81"/>
            <rFont val="Tahoma"/>
            <family val="2"/>
          </rPr>
          <t>JT 9 MEI
EVALUASI W 4 MEI SENIN</t>
        </r>
      </text>
    </comment>
    <comment ref="AF80" authorId="0">
      <text>
        <r>
          <rPr>
            <b/>
            <sz val="9"/>
            <color indexed="81"/>
            <rFont val="Tahoma"/>
            <family val="2"/>
          </rPr>
          <t>JT 12 MEI
EVALUASI W 4 MEI SENIN</t>
        </r>
      </text>
    </comment>
    <comment ref="H82" authorId="0">
      <text>
        <r>
          <rPr>
            <b/>
            <sz val="9"/>
            <color indexed="81"/>
            <rFont val="Tahoma"/>
            <family val="2"/>
          </rPr>
          <t>JT 6 OKT</t>
        </r>
      </text>
    </comment>
    <comment ref="F85" authorId="0">
      <text>
        <r>
          <rPr>
            <b/>
            <sz val="9"/>
            <color indexed="81"/>
            <rFont val="Tahoma"/>
            <family val="2"/>
          </rPr>
          <t>JT 29, 30 SEP</t>
        </r>
      </text>
    </comment>
    <comment ref="AF86" authorId="0">
      <text>
        <r>
          <rPr>
            <b/>
            <sz val="9"/>
            <color indexed="81"/>
            <rFont val="Tahoma"/>
            <family val="2"/>
          </rPr>
          <t>JT 24 MEI - 26 MEI</t>
        </r>
      </text>
    </comment>
    <comment ref="H97" authorId="0">
      <text>
        <r>
          <rPr>
            <b/>
            <sz val="9"/>
            <color indexed="81"/>
            <rFont val="Tahoma"/>
            <family val="2"/>
          </rPr>
          <t xml:space="preserve">DIS COST JAN '21
</t>
        </r>
      </text>
    </comment>
    <comment ref="I97" authorId="0">
      <text>
        <r>
          <rPr>
            <b/>
            <sz val="9"/>
            <color indexed="81"/>
            <rFont val="Tahoma"/>
            <family val="2"/>
          </rPr>
          <t>DIS COST FEB '21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>DIS COST MAR '21</t>
        </r>
      </text>
    </comment>
    <comment ref="M97" authorId="0">
      <text>
        <r>
          <rPr>
            <b/>
            <sz val="9"/>
            <color indexed="81"/>
            <rFont val="Tahoma"/>
            <family val="2"/>
          </rPr>
          <t>DIS COST APR '21</t>
        </r>
      </text>
    </comment>
    <comment ref="N97" authorId="0">
      <text>
        <r>
          <rPr>
            <b/>
            <sz val="9"/>
            <color indexed="81"/>
            <rFont val="Tahoma"/>
            <family val="2"/>
          </rPr>
          <t>DIS COST  MEI '21</t>
        </r>
      </text>
    </comment>
    <comment ref="O97" authorId="0">
      <text>
        <r>
          <rPr>
            <b/>
            <sz val="9"/>
            <color indexed="81"/>
            <rFont val="Tahoma"/>
            <family val="2"/>
          </rPr>
          <t>DIS COST JUN '21</t>
        </r>
      </text>
    </comment>
    <comment ref="P97" authorId="0">
      <text>
        <r>
          <rPr>
            <b/>
            <sz val="9"/>
            <color indexed="81"/>
            <rFont val="Tahoma"/>
            <family val="2"/>
          </rPr>
          <t>DIS COST JUL '21</t>
        </r>
      </text>
    </comment>
    <comment ref="Q97" authorId="0">
      <text>
        <r>
          <rPr>
            <b/>
            <sz val="9"/>
            <color indexed="81"/>
            <rFont val="Tahoma"/>
            <family val="2"/>
          </rPr>
          <t>DIS COST AGT '21</t>
        </r>
      </text>
    </comment>
    <comment ref="T97" authorId="0">
      <text>
        <r>
          <rPr>
            <b/>
            <sz val="9"/>
            <color indexed="81"/>
            <rFont val="Tahoma"/>
            <family val="2"/>
          </rPr>
          <t>DIS COST SEP '21</t>
        </r>
      </text>
    </comment>
    <comment ref="AA97" authorId="0">
      <text>
        <r>
          <rPr>
            <b/>
            <sz val="9"/>
            <color indexed="81"/>
            <rFont val="Tahoma"/>
            <family val="2"/>
          </rPr>
          <t>DP MOBIL 3 UNT XENIA 1 UNT TERIOS</t>
        </r>
      </text>
    </comment>
    <comment ref="AB97" authorId="0">
      <text>
        <r>
          <rPr>
            <b/>
            <sz val="9"/>
            <color indexed="81"/>
            <rFont val="Tahoma"/>
            <family val="2"/>
          </rPr>
          <t>SOMPO</t>
        </r>
      </text>
    </comment>
    <comment ref="O98" authorId="0">
      <text>
        <r>
          <rPr>
            <b/>
            <sz val="9"/>
            <color indexed="81"/>
            <rFont val="Tahoma"/>
            <family val="2"/>
          </rPr>
          <t>BG EIT</t>
        </r>
      </text>
    </comment>
  </commentList>
</comments>
</file>

<file path=xl/comments14.xml><?xml version="1.0" encoding="utf-8"?>
<comments xmlns="http://schemas.openxmlformats.org/spreadsheetml/2006/main">
  <authors>
    <author>300-20</author>
  </authors>
  <commentList>
    <comment ref="N46" authorId="0">
      <text>
        <r>
          <rPr>
            <b/>
            <sz val="9"/>
            <color indexed="81"/>
            <rFont val="Tahoma"/>
            <family val="2"/>
          </rPr>
          <t>-KLAIM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BAYAR TGL 8 NOV</t>
        </r>
      </text>
    </comment>
    <comment ref="AN51" authorId="0">
      <text>
        <r>
          <rPr>
            <b/>
            <sz val="9"/>
            <color indexed="81"/>
            <rFont val="Tahoma"/>
            <family val="2"/>
          </rPr>
          <t>JT 20 JUN
REVIEW 5 JUL P AGUNG
PENDING LAGI NUNGGU KONFIRM</t>
        </r>
      </text>
    </comment>
    <comment ref="AN52" authorId="0">
      <text>
        <r>
          <rPr>
            <b/>
            <sz val="9"/>
            <color indexed="81"/>
            <rFont val="Tahoma"/>
            <family val="2"/>
          </rPr>
          <t>REVIEW 12 JUL '21</t>
        </r>
      </text>
    </comment>
    <comment ref="AN53" authorId="0">
      <text>
        <r>
          <rPr>
            <b/>
            <sz val="9"/>
            <color indexed="81"/>
            <rFont val="Tahoma"/>
            <family val="2"/>
          </rPr>
          <t>JT 16 MEI
EVALUASI AWAL JUNI</t>
        </r>
      </text>
    </comment>
    <comment ref="AN75" authorId="0">
      <text>
        <r>
          <rPr>
            <b/>
            <sz val="9"/>
            <color indexed="81"/>
            <rFont val="Tahoma"/>
            <family val="2"/>
          </rPr>
          <t>JT 19 APR
EVALUASI TGL 26 APR
EVALUASI AKHIR APR '21
EVALUAS W 3 MEI
EVALUASI W 4 MEI SENIN</t>
        </r>
      </text>
    </comment>
    <comment ref="AN76" authorId="0">
      <text>
        <r>
          <rPr>
            <b/>
            <sz val="9"/>
            <color indexed="81"/>
            <rFont val="Tahoma"/>
            <family val="2"/>
          </rPr>
          <t>JT 9 MEI
EVALUASI W 4 MEI SENIN</t>
        </r>
      </text>
    </comment>
    <comment ref="AN77" authorId="0">
      <text>
        <r>
          <rPr>
            <b/>
            <sz val="9"/>
            <color indexed="81"/>
            <rFont val="Tahoma"/>
            <family val="2"/>
          </rPr>
          <t>JT 12 MEI
EVALUASI W 4 MEI SENIN</t>
        </r>
      </text>
    </comment>
    <comment ref="T95" authorId="0">
      <text>
        <r>
          <rPr>
            <b/>
            <sz val="9"/>
            <color indexed="81"/>
            <rFont val="Tahoma"/>
            <family val="2"/>
          </rPr>
          <t>DIS COST OKT - MJP</t>
        </r>
      </text>
    </comment>
    <comment ref="Z96" authorId="0">
      <text>
        <r>
          <rPr>
            <b/>
            <sz val="9"/>
            <color indexed="81"/>
            <rFont val="Tahoma"/>
            <family val="2"/>
          </rPr>
          <t>CV BINTANG MAJU</t>
        </r>
      </text>
    </comment>
    <comment ref="AN97" authorId="0">
      <text>
        <r>
          <rPr>
            <b/>
            <sz val="9"/>
            <color indexed="81"/>
            <rFont val="Tahoma"/>
            <family val="2"/>
          </rPr>
          <t>DIS COST OKT 500 JT
SWA GUDANG SMG, SOL, YK 1,5 M
OTHER 1,5 M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DIS COST OKT 500 JT
SWA GUDANG SMG, SOL, YK 1,5 M
OTHER 1,5 M</t>
        </r>
      </text>
    </comment>
  </commentList>
</comments>
</file>

<file path=xl/comments15.xml><?xml version="1.0" encoding="utf-8"?>
<comments xmlns="http://schemas.openxmlformats.org/spreadsheetml/2006/main">
  <authors>
    <author>300-20</author>
  </authors>
  <commentList>
    <comment ref="AD42" authorId="0">
      <text>
        <r>
          <rPr>
            <b/>
            <sz val="9"/>
            <color indexed="81"/>
            <rFont val="Tahoma"/>
            <family val="2"/>
          </rPr>
          <t>SLS HARGA KANVAS</t>
        </r>
      </text>
    </comment>
    <comment ref="AH46" authorId="0">
      <text>
        <r>
          <rPr>
            <b/>
            <sz val="9"/>
            <color indexed="81"/>
            <rFont val="Tahoma"/>
            <family val="2"/>
          </rPr>
          <t>JT 20 JUN
REVIEW 5 JUL P AGUNG
PENDING LAGI NUNGGU KONFIRM</t>
        </r>
      </text>
    </comment>
    <comment ref="AH47" authorId="0">
      <text>
        <r>
          <rPr>
            <b/>
            <sz val="9"/>
            <color indexed="81"/>
            <rFont val="Tahoma"/>
            <family val="2"/>
          </rPr>
          <t>REVIEW 12 JUL '21</t>
        </r>
      </text>
    </comment>
    <comment ref="AH48" authorId="0">
      <text>
        <r>
          <rPr>
            <b/>
            <sz val="9"/>
            <color indexed="81"/>
            <rFont val="Tahoma"/>
            <family val="2"/>
          </rPr>
          <t>JT 16 MEI
EVALUASI AWAL JUNI</t>
        </r>
      </text>
    </comment>
    <comment ref="AH58" authorId="0">
      <text>
        <r>
          <rPr>
            <b/>
            <sz val="9"/>
            <color indexed="81"/>
            <rFont val="Tahoma"/>
            <family val="2"/>
          </rPr>
          <t>JT 19 APR
EVALUASI TGL 26 APR
EVALUASI AKHIR APR '21
EVALUAS W 3 MEI
EVALUASI W 4 MEI SENIN</t>
        </r>
      </text>
    </comment>
    <comment ref="AH59" authorId="0">
      <text>
        <r>
          <rPr>
            <b/>
            <sz val="9"/>
            <color indexed="81"/>
            <rFont val="Tahoma"/>
            <family val="2"/>
          </rPr>
          <t>JT 9 MEI
EVALUASI W 4 MEI SENIN</t>
        </r>
      </text>
    </comment>
    <comment ref="AH60" authorId="0">
      <text>
        <r>
          <rPr>
            <b/>
            <sz val="9"/>
            <color indexed="81"/>
            <rFont val="Tahoma"/>
            <family val="2"/>
          </rPr>
          <t>JT 12 MEI
EVALUASI W 4 MEI SENIN</t>
        </r>
      </text>
    </comment>
    <comment ref="P70" authorId="0">
      <text>
        <r>
          <rPr>
            <b/>
            <sz val="9"/>
            <color indexed="81"/>
            <rFont val="Tahoma"/>
            <family val="2"/>
          </rPr>
          <t xml:space="preserve">DIS COST NOV </t>
        </r>
      </text>
    </comment>
    <comment ref="W70" authorId="0">
      <text>
        <r>
          <rPr>
            <b/>
            <sz val="9"/>
            <color indexed="81"/>
            <rFont val="Tahoma"/>
            <family val="2"/>
          </rPr>
          <t>BG AI</t>
        </r>
      </text>
    </comment>
    <comment ref="AD73" authorId="0">
      <text>
        <r>
          <rPr>
            <b/>
            <sz val="9"/>
            <color indexed="81"/>
            <rFont val="Tahoma"/>
            <family val="2"/>
          </rPr>
          <t>TAKTIS</t>
        </r>
      </text>
    </comment>
    <comment ref="AG73" authorId="0">
      <text>
        <r>
          <rPr>
            <b/>
            <sz val="9"/>
            <color indexed="81"/>
            <rFont val="Tahoma"/>
            <family val="2"/>
          </rPr>
          <t>TAKTIS</t>
        </r>
      </text>
    </comment>
    <comment ref="AF77" authorId="0">
      <text>
        <r>
          <rPr>
            <b/>
            <sz val="9"/>
            <color indexed="81"/>
            <rFont val="Tahoma"/>
            <family val="2"/>
          </rPr>
          <t>JT 5, 7 JAN</t>
        </r>
      </text>
    </comment>
  </commentList>
</comments>
</file>

<file path=xl/comments16.xml><?xml version="1.0" encoding="utf-8"?>
<comments xmlns="http://schemas.openxmlformats.org/spreadsheetml/2006/main">
  <authors>
    <author>300-20</author>
  </authors>
  <commentList>
    <comment ref="I9" authorId="0">
      <text>
        <r>
          <rPr>
            <b/>
            <sz val="9"/>
            <color indexed="81"/>
            <rFont val="Tahoma"/>
            <family val="2"/>
          </rPr>
          <t>JT 8 JAN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LIHAT MINGDEP</t>
        </r>
      </text>
    </comment>
    <comment ref="V10" authorId="0">
      <text>
        <r>
          <rPr>
            <b/>
            <sz val="9"/>
            <color indexed="81"/>
            <rFont val="Tahoma"/>
            <family val="2"/>
          </rPr>
          <t xml:space="preserve">NABUNG :
JT 10 JAN - 27 JAN </t>
        </r>
      </text>
    </comment>
    <comment ref="P20" authorId="0">
      <text>
        <r>
          <rPr>
            <b/>
            <sz val="9"/>
            <color indexed="81"/>
            <rFont val="Tahoma"/>
            <family val="2"/>
          </rPr>
          <t>NABUNG</t>
        </r>
      </text>
    </comment>
    <comment ref="O21" authorId="0">
      <text>
        <r>
          <rPr>
            <b/>
            <sz val="9"/>
            <color indexed="81"/>
            <rFont val="Tahoma"/>
            <family val="2"/>
          </rPr>
          <t>JT 13 JAN</t>
        </r>
      </text>
    </comment>
    <comment ref="S21" authorId="0">
      <text>
        <r>
          <rPr>
            <b/>
            <sz val="9"/>
            <color indexed="81"/>
            <rFont val="Tahoma"/>
            <family val="2"/>
          </rPr>
          <t>JT 15-16 JAN</t>
        </r>
      </text>
    </comment>
    <comment ref="AH29" authorId="0">
      <text>
        <r>
          <rPr>
            <b/>
            <sz val="9"/>
            <color indexed="81"/>
            <rFont val="Tahoma"/>
            <family val="2"/>
          </rPr>
          <t>JT 20 JUN
REVIEW 5 JUL P AGUNG
PENDING LAGI NUNGGU KONFIRM</t>
        </r>
      </text>
    </comment>
    <comment ref="AH30" authorId="0">
      <text>
        <r>
          <rPr>
            <b/>
            <sz val="9"/>
            <color indexed="81"/>
            <rFont val="Tahoma"/>
            <family val="2"/>
          </rPr>
          <t>REVIEW 12 JUL '21</t>
        </r>
      </text>
    </comment>
    <comment ref="AH31" authorId="0">
      <text>
        <r>
          <rPr>
            <b/>
            <sz val="9"/>
            <color indexed="81"/>
            <rFont val="Tahoma"/>
            <family val="2"/>
          </rPr>
          <t>JT 16 MEI
EVALUASI AWAL JUNI</t>
        </r>
      </text>
    </comment>
    <comment ref="V36" authorId="0">
      <text>
        <r>
          <rPr>
            <b/>
            <sz val="9"/>
            <color indexed="81"/>
            <rFont val="Tahoma"/>
            <family val="2"/>
          </rPr>
          <t>NABUNG</t>
        </r>
      </text>
    </comment>
    <comment ref="AH38" authorId="0">
      <text>
        <r>
          <rPr>
            <b/>
            <sz val="9"/>
            <color indexed="81"/>
            <rFont val="Tahoma"/>
            <family val="2"/>
          </rPr>
          <t>JT 19 APR
EVALUASI TGL 26 APR
EVALUASI AKHIR APR '21
EVALUAS W 3 MEI
EVALUASI W 4 MEI SENIN</t>
        </r>
      </text>
    </comment>
    <comment ref="AH39" authorId="0">
      <text>
        <r>
          <rPr>
            <b/>
            <sz val="9"/>
            <color indexed="81"/>
            <rFont val="Tahoma"/>
            <family val="2"/>
          </rPr>
          <t>JT 9 MEI
EVALUASI W 4 MEI SENIN</t>
        </r>
      </text>
    </comment>
    <comment ref="AH40" authorId="0">
      <text>
        <r>
          <rPr>
            <b/>
            <sz val="9"/>
            <color indexed="81"/>
            <rFont val="Tahoma"/>
            <family val="2"/>
          </rPr>
          <t>JT 12 MEI
EVALUASI W 4 MEI SENIN</t>
        </r>
      </text>
    </comment>
    <comment ref="I42" authorId="0">
      <text>
        <r>
          <rPr>
            <b/>
            <sz val="9"/>
            <color indexed="81"/>
            <rFont val="Tahoma"/>
            <family val="2"/>
          </rPr>
          <t>REATE 2%</t>
        </r>
      </text>
    </comment>
    <comment ref="T50" authorId="0">
      <text>
        <r>
          <rPr>
            <b/>
            <sz val="9"/>
            <color indexed="81"/>
            <rFont val="Tahoma"/>
            <family val="2"/>
          </rPr>
          <t xml:space="preserve">DC DES </t>
        </r>
      </text>
    </comment>
    <comment ref="V50" authorId="0">
      <text>
        <r>
          <rPr>
            <b/>
            <sz val="9"/>
            <color indexed="81"/>
            <rFont val="Tahoma"/>
            <family val="2"/>
          </rPr>
          <t>BY FASILITAS BCA A + B 2022-2023</t>
        </r>
      </text>
    </comment>
    <comment ref="I52" authorId="0">
      <text>
        <r>
          <rPr>
            <b/>
            <sz val="9"/>
            <color indexed="81"/>
            <rFont val="Tahoma"/>
            <family val="2"/>
          </rPr>
          <t>TAKTIS</t>
        </r>
      </text>
    </comment>
    <comment ref="AD52" authorId="0">
      <text>
        <r>
          <rPr>
            <b/>
            <sz val="9"/>
            <color indexed="81"/>
            <rFont val="Tahoma"/>
            <family val="2"/>
          </rPr>
          <t>TAKTIS</t>
        </r>
      </text>
    </comment>
    <comment ref="AG52" authorId="0">
      <text>
        <r>
          <rPr>
            <b/>
            <sz val="9"/>
            <color indexed="81"/>
            <rFont val="Tahoma"/>
            <family val="2"/>
          </rPr>
          <t>TAKTIS</t>
        </r>
      </text>
    </comment>
    <comment ref="AF56" authorId="0">
      <text>
        <r>
          <rPr>
            <b/>
            <sz val="9"/>
            <color indexed="81"/>
            <rFont val="Tahoma"/>
            <family val="2"/>
          </rPr>
          <t>JT 5, 7 JAN</t>
        </r>
      </text>
    </comment>
  </commentList>
</comments>
</file>

<file path=xl/comments17.xml><?xml version="1.0" encoding="utf-8"?>
<comments xmlns="http://schemas.openxmlformats.org/spreadsheetml/2006/main">
  <authors>
    <author>300-20</author>
  </authors>
  <commentList>
    <comment ref="I9" authorId="0">
      <text>
        <r>
          <rPr>
            <b/>
            <sz val="9"/>
            <color indexed="81"/>
            <rFont val="Tahoma"/>
            <family val="2"/>
          </rPr>
          <t>JT 8 JAN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LIHAT MINGDEP</t>
        </r>
      </text>
    </comment>
    <comment ref="V10" authorId="0">
      <text>
        <r>
          <rPr>
            <b/>
            <sz val="9"/>
            <color indexed="81"/>
            <rFont val="Tahoma"/>
            <family val="2"/>
          </rPr>
          <t xml:space="preserve">NABUNG :
JT 10 JAN - 27 JAN </t>
        </r>
      </text>
    </comment>
    <comment ref="W10" authorId="0">
      <text>
        <r>
          <rPr>
            <b/>
            <sz val="9"/>
            <color indexed="81"/>
            <rFont val="Tahoma"/>
            <family val="2"/>
          </rPr>
          <t xml:space="preserve">NABUNG :
JT 10 JAN - 27 JAN </t>
        </r>
      </text>
    </comment>
    <comment ref="AE10" authorId="0">
      <text>
        <r>
          <rPr>
            <b/>
            <sz val="9"/>
            <color indexed="81"/>
            <rFont val="Tahoma"/>
            <family val="2"/>
          </rPr>
          <t xml:space="preserve">NABUNG :
JT 10 JAN - 27 JAN </t>
        </r>
      </text>
    </comment>
    <comment ref="W16" authorId="0">
      <text>
        <r>
          <rPr>
            <b/>
            <sz val="9"/>
            <color indexed="81"/>
            <rFont val="Tahoma"/>
            <family val="2"/>
          </rPr>
          <t>NABUNG
JT 13 JAN</t>
        </r>
      </text>
    </comment>
    <comment ref="AE16" authorId="0">
      <text>
        <r>
          <rPr>
            <b/>
            <sz val="9"/>
            <color indexed="81"/>
            <rFont val="Tahoma"/>
            <family val="2"/>
          </rPr>
          <t>NABUNG
JT 13 JAN</t>
        </r>
      </text>
    </comment>
    <comment ref="AE17" authorId="0">
      <text>
        <r>
          <rPr>
            <b/>
            <sz val="9"/>
            <color indexed="81"/>
            <rFont val="Tahoma"/>
            <family val="2"/>
          </rPr>
          <t xml:space="preserve">JT 31 JAN </t>
        </r>
      </text>
    </comment>
    <comment ref="P21" authorId="0">
      <text>
        <r>
          <rPr>
            <b/>
            <sz val="9"/>
            <color indexed="81"/>
            <rFont val="Tahoma"/>
            <family val="2"/>
          </rPr>
          <t>NABUNG</t>
        </r>
      </text>
    </comment>
    <comment ref="O22" authorId="0">
      <text>
        <r>
          <rPr>
            <b/>
            <sz val="9"/>
            <color indexed="81"/>
            <rFont val="Tahoma"/>
            <family val="2"/>
          </rPr>
          <t>JT 13 JAN</t>
        </r>
      </text>
    </comment>
    <comment ref="S22" authorId="0">
      <text>
        <r>
          <rPr>
            <b/>
            <sz val="9"/>
            <color indexed="81"/>
            <rFont val="Tahoma"/>
            <family val="2"/>
          </rPr>
          <t>JT 15-16 JAN</t>
        </r>
      </text>
    </comment>
    <comment ref="AG28" authorId="0">
      <text>
        <r>
          <rPr>
            <b/>
            <sz val="9"/>
            <color indexed="81"/>
            <rFont val="Tahoma"/>
            <family val="2"/>
          </rPr>
          <t>KANVAS NOV '21</t>
        </r>
      </text>
    </comment>
    <comment ref="AH30" authorId="0">
      <text>
        <r>
          <rPr>
            <b/>
            <sz val="9"/>
            <color indexed="81"/>
            <rFont val="Tahoma"/>
            <family val="2"/>
          </rPr>
          <t>JT 20 JUN
REVIEW 5 JUL P AGUNG
PENDING LAGI NUNGGU KONFIRM</t>
        </r>
      </text>
    </comment>
    <comment ref="AH31" authorId="0">
      <text>
        <r>
          <rPr>
            <b/>
            <sz val="9"/>
            <color indexed="81"/>
            <rFont val="Tahoma"/>
            <family val="2"/>
          </rPr>
          <t>REVIEW 12 JUL '21</t>
        </r>
      </text>
    </comment>
    <comment ref="AH32" authorId="0">
      <text>
        <r>
          <rPr>
            <b/>
            <sz val="9"/>
            <color indexed="81"/>
            <rFont val="Tahoma"/>
            <family val="2"/>
          </rPr>
          <t>JT 16 MEI
EVALUASI AWAL JUNI</t>
        </r>
      </text>
    </comment>
    <comment ref="V37" authorId="0">
      <text>
        <r>
          <rPr>
            <b/>
            <sz val="9"/>
            <color indexed="81"/>
            <rFont val="Tahoma"/>
            <family val="2"/>
          </rPr>
          <t>NABUNG</t>
        </r>
      </text>
    </comment>
    <comment ref="W37" authorId="0">
      <text>
        <r>
          <rPr>
            <b/>
            <sz val="9"/>
            <color indexed="81"/>
            <rFont val="Tahoma"/>
            <family val="2"/>
          </rPr>
          <t>NABUNG</t>
        </r>
      </text>
    </comment>
    <comment ref="Z37" authorId="0">
      <text>
        <r>
          <rPr>
            <b/>
            <sz val="9"/>
            <color indexed="81"/>
            <rFont val="Tahoma"/>
            <family val="2"/>
          </rPr>
          <t>NABUNG</t>
        </r>
      </text>
    </comment>
    <comment ref="AH40" authorId="0">
      <text>
        <r>
          <rPr>
            <b/>
            <sz val="9"/>
            <color indexed="81"/>
            <rFont val="Tahoma"/>
            <family val="2"/>
          </rPr>
          <t>JT 19 APR
EVALUASI TGL 26 APR
EVALUASI AKHIR APR '21
EVALUAS W 3 MEI
EVALUASI W 4 MEI SENIN</t>
        </r>
      </text>
    </comment>
    <comment ref="AH41" authorId="0">
      <text>
        <r>
          <rPr>
            <b/>
            <sz val="9"/>
            <color indexed="81"/>
            <rFont val="Tahoma"/>
            <family val="2"/>
          </rPr>
          <t>JT 9 MEI
EVALUASI W 4 MEI SENIN</t>
        </r>
      </text>
    </comment>
    <comment ref="AH42" authorId="0">
      <text>
        <r>
          <rPr>
            <b/>
            <sz val="9"/>
            <color indexed="81"/>
            <rFont val="Tahoma"/>
            <family val="2"/>
          </rPr>
          <t>JT 12 MEI
EVALUASI W 4 MEI SENIN</t>
        </r>
      </text>
    </comment>
    <comment ref="I44" authorId="0">
      <text>
        <r>
          <rPr>
            <b/>
            <sz val="9"/>
            <color indexed="81"/>
            <rFont val="Tahoma"/>
            <family val="2"/>
          </rPr>
          <t>REATE 2%</t>
        </r>
      </text>
    </comment>
    <comment ref="T52" authorId="0">
      <text>
        <r>
          <rPr>
            <b/>
            <sz val="9"/>
            <color indexed="81"/>
            <rFont val="Tahoma"/>
            <family val="2"/>
          </rPr>
          <t xml:space="preserve">DC DES </t>
        </r>
      </text>
    </comment>
    <comment ref="V52" authorId="0">
      <text>
        <r>
          <rPr>
            <b/>
            <sz val="9"/>
            <color indexed="81"/>
            <rFont val="Tahoma"/>
            <family val="2"/>
          </rPr>
          <t>BY FASILITAS BCA A + B 2022-2023</t>
        </r>
      </text>
    </comment>
    <comment ref="I54" authorId="0">
      <text>
        <r>
          <rPr>
            <b/>
            <sz val="9"/>
            <color indexed="81"/>
            <rFont val="Tahoma"/>
            <family val="2"/>
          </rPr>
          <t>TAKTIS</t>
        </r>
      </text>
    </comment>
    <comment ref="AG54" authorId="0">
      <text>
        <r>
          <rPr>
            <b/>
            <sz val="9"/>
            <color indexed="81"/>
            <rFont val="Tahoma"/>
            <family val="2"/>
          </rPr>
          <t>TAKTIS</t>
        </r>
      </text>
    </comment>
    <comment ref="AF58" authorId="0">
      <text>
        <r>
          <rPr>
            <b/>
            <sz val="9"/>
            <color indexed="81"/>
            <rFont val="Tahoma"/>
            <family val="2"/>
          </rPr>
          <t>JT 5, 7 JAN</t>
        </r>
      </text>
    </comment>
  </commentList>
</comments>
</file>

<file path=xl/comments18.xml><?xml version="1.0" encoding="utf-8"?>
<comments xmlns="http://schemas.openxmlformats.org/spreadsheetml/2006/main">
  <authors>
    <author>300-20</author>
  </authors>
  <commentList>
    <comment ref="I20" authorId="0">
      <text>
        <r>
          <rPr>
            <b/>
            <sz val="9"/>
            <color indexed="81"/>
            <rFont val="Tahoma"/>
            <family val="2"/>
          </rPr>
          <t>NABUNG
JT 13 JAN</t>
        </r>
      </text>
    </comment>
    <comment ref="R21" authorId="0">
      <text>
        <r>
          <rPr>
            <b/>
            <sz val="9"/>
            <color indexed="81"/>
            <rFont val="Tahoma"/>
            <family val="2"/>
          </rPr>
          <t xml:space="preserve">JT 31 JAN </t>
        </r>
      </text>
    </comment>
    <comment ref="R22" authorId="0">
      <text>
        <r>
          <rPr>
            <b/>
            <sz val="9"/>
            <color indexed="81"/>
            <rFont val="Tahoma"/>
            <family val="2"/>
          </rPr>
          <t>JT 10 FEB</t>
        </r>
      </text>
    </comment>
    <comment ref="K37" authorId="0">
      <text>
        <r>
          <rPr>
            <b/>
            <sz val="9"/>
            <color indexed="81"/>
            <rFont val="Tahoma"/>
            <family val="2"/>
          </rPr>
          <t>SLS GT MT OKT-DES</t>
        </r>
      </text>
    </comment>
    <comment ref="F53" authorId="0">
      <text>
        <r>
          <rPr>
            <b/>
            <sz val="9"/>
            <color indexed="81"/>
            <rFont val="Tahoma"/>
            <family val="2"/>
          </rPr>
          <t>JT 3, 4FEB</t>
        </r>
      </text>
    </comment>
    <comment ref="M53" authorId="0">
      <text>
        <r>
          <rPr>
            <b/>
            <sz val="9"/>
            <color indexed="81"/>
            <rFont val="Tahoma"/>
            <family val="2"/>
          </rPr>
          <t>rebate</t>
        </r>
      </text>
    </comment>
    <comment ref="AF67" authorId="0">
      <text>
        <r>
          <rPr>
            <b/>
            <sz val="9"/>
            <color indexed="81"/>
            <rFont val="Tahoma"/>
            <family val="2"/>
          </rPr>
          <t>JT 5, 7 JAN</t>
        </r>
      </text>
    </comment>
    <comment ref="AD70" authorId="0">
      <text>
        <r>
          <rPr>
            <b/>
            <sz val="9"/>
            <color indexed="81"/>
            <rFont val="Tahoma"/>
            <family val="2"/>
          </rPr>
          <t>1 MARET</t>
        </r>
      </text>
    </comment>
    <comment ref="AD88" authorId="0">
      <text>
        <r>
          <rPr>
            <b/>
            <sz val="9"/>
            <color indexed="81"/>
            <rFont val="Tahoma"/>
            <family val="2"/>
          </rPr>
          <t>1 MARET</t>
        </r>
      </text>
    </comment>
  </commentList>
</comments>
</file>

<file path=xl/comments19.xml><?xml version="1.0" encoding="utf-8"?>
<comments xmlns="http://schemas.openxmlformats.org/spreadsheetml/2006/main">
  <authors>
    <author>300-20</author>
  </authors>
  <commentList>
    <comment ref="R30" authorId="0">
      <text>
        <r>
          <rPr>
            <b/>
            <sz val="9"/>
            <color indexed="81"/>
            <rFont val="Tahoma"/>
            <family val="2"/>
          </rPr>
          <t>-RETUR</t>
        </r>
      </text>
    </comment>
    <comment ref="K63" authorId="0">
      <text>
        <r>
          <rPr>
            <b/>
            <sz val="9"/>
            <color indexed="81"/>
            <rFont val="Tahoma"/>
            <family val="2"/>
          </rPr>
          <t>JASA AKTUARIA</t>
        </r>
      </text>
    </comment>
    <comment ref="AA65" authorId="0">
      <text>
        <r>
          <rPr>
            <b/>
            <sz val="9"/>
            <color indexed="81"/>
            <rFont val="Tahoma"/>
            <family val="2"/>
          </rPr>
          <t>ASURANSI</t>
        </r>
      </text>
    </comment>
    <comment ref="D73" authorId="0">
      <text>
        <r>
          <rPr>
            <b/>
            <sz val="9"/>
            <color indexed="81"/>
            <rFont val="Tahoma"/>
            <family val="2"/>
          </rPr>
          <t>1 MARET</t>
        </r>
      </text>
    </comment>
    <comment ref="D91" authorId="0">
      <text>
        <r>
          <rPr>
            <b/>
            <sz val="9"/>
            <color indexed="81"/>
            <rFont val="Tahoma"/>
            <family val="2"/>
          </rPr>
          <t>1 MARET</t>
        </r>
      </text>
    </comment>
  </commentList>
</comments>
</file>

<file path=xl/comments20.xml><?xml version="1.0" encoding="utf-8"?>
<comments xmlns="http://schemas.openxmlformats.org/spreadsheetml/2006/main">
  <authors>
    <author>300-20</author>
  </authors>
  <commentList>
    <comment ref="P54" authorId="0">
      <text>
        <r>
          <rPr>
            <b/>
            <sz val="9"/>
            <color indexed="81"/>
            <rFont val="Tahoma"/>
            <family val="2"/>
          </rPr>
          <t>JASA MANAGEMENT Q4</t>
        </r>
      </text>
    </comment>
  </commentList>
</comments>
</file>

<file path=xl/comments21.xml><?xml version="1.0" encoding="utf-8"?>
<comments xmlns="http://schemas.openxmlformats.org/spreadsheetml/2006/main">
  <authors>
    <author>300-20</author>
  </authors>
  <commentList>
    <comment ref="X25" authorId="0">
      <text>
        <r>
          <rPr>
            <b/>
            <sz val="9"/>
            <color indexed="81"/>
            <rFont val="Tahoma"/>
            <family val="2"/>
          </rPr>
          <t xml:space="preserve">KB </t>
        </r>
      </text>
    </comment>
    <comment ref="C30" authorId="0">
      <text>
        <r>
          <rPr>
            <b/>
            <sz val="9"/>
            <color indexed="81"/>
            <rFont val="Tahoma"/>
            <family val="2"/>
          </rPr>
          <t>sls harga gt mt min jan-mar</t>
        </r>
      </text>
    </comment>
    <comment ref="K30" authorId="0">
      <text>
        <r>
          <rPr>
            <b/>
            <sz val="9"/>
            <color indexed="81"/>
            <rFont val="Tahoma"/>
            <family val="2"/>
          </rPr>
          <t>SLS KANVAS JAN-MAR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>ADA SELISIH NUNGGU REVISI KABAR</t>
        </r>
      </text>
    </comment>
    <comment ref="AB32" authorId="0">
      <text>
        <r>
          <rPr>
            <b/>
            <sz val="9"/>
            <color indexed="81"/>
            <rFont val="Tahoma"/>
            <family val="2"/>
          </rPr>
          <t>JT 26-27 MEI</t>
        </r>
      </text>
    </comment>
    <comment ref="AE32" authorId="0">
      <text>
        <r>
          <rPr>
            <b/>
            <sz val="9"/>
            <color indexed="81"/>
            <rFont val="Tahoma"/>
            <family val="2"/>
          </rPr>
          <t>JT 26-27 MEI</t>
        </r>
      </text>
    </comment>
    <comment ref="X39" authorId="0">
      <text>
        <r>
          <rPr>
            <b/>
            <sz val="9"/>
            <color indexed="81"/>
            <rFont val="Tahoma"/>
            <family val="2"/>
          </rPr>
          <t>Q1 MBR</t>
        </r>
      </text>
    </comment>
    <comment ref="G46" authorId="0">
      <text>
        <r>
          <rPr>
            <b/>
            <sz val="9"/>
            <color indexed="81"/>
            <rFont val="Tahoma"/>
            <family val="2"/>
          </rPr>
          <t xml:space="preserve">PENDING
BY 13 MEI </t>
        </r>
      </text>
    </comment>
    <comment ref="G47" authorId="0">
      <text>
        <r>
          <rPr>
            <b/>
            <sz val="9"/>
            <color indexed="81"/>
            <rFont val="Tahoma"/>
            <family val="2"/>
          </rPr>
          <t xml:space="preserve">BY 13 MEI </t>
        </r>
      </text>
    </comment>
    <comment ref="E60" authorId="0">
      <text>
        <r>
          <rPr>
            <b/>
            <sz val="9"/>
            <color indexed="81"/>
            <rFont val="Tahoma"/>
            <family val="2"/>
          </rPr>
          <t>RTGS BCA</t>
        </r>
      </text>
    </comment>
    <comment ref="U60" authorId="0">
      <text>
        <r>
          <rPr>
            <b/>
            <sz val="9"/>
            <color indexed="81"/>
            <rFont val="Tahoma"/>
            <family val="2"/>
          </rPr>
          <t>ABDA</t>
        </r>
      </text>
    </comment>
    <comment ref="D72" authorId="0">
      <text>
        <r>
          <rPr>
            <b/>
            <sz val="9"/>
            <color indexed="81"/>
            <rFont val="Tahoma"/>
            <family val="2"/>
          </rPr>
          <t>BUNGA ULANG BULAN</t>
        </r>
      </text>
    </comment>
  </commentList>
</comments>
</file>

<file path=xl/comments22.xml><?xml version="1.0" encoding="utf-8"?>
<comments xmlns="http://schemas.openxmlformats.org/spreadsheetml/2006/main">
  <authors>
    <author>300-20</author>
  </authors>
  <commentList>
    <comment ref="E32" authorId="0">
      <text>
        <r>
          <rPr>
            <b/>
            <sz val="9"/>
            <color indexed="81"/>
            <rFont val="Tahoma"/>
            <family val="2"/>
          </rPr>
          <t>JT 26-27 MEI</t>
        </r>
      </text>
    </comment>
    <comment ref="AF39" authorId="0">
      <text>
        <r>
          <rPr>
            <b/>
            <sz val="9"/>
            <color indexed="81"/>
            <rFont val="Tahoma"/>
            <family val="2"/>
          </rPr>
          <t xml:space="preserve">jasa management apr </t>
        </r>
      </text>
    </comment>
    <comment ref="AF40" authorId="0">
      <text>
        <r>
          <rPr>
            <b/>
            <sz val="9"/>
            <color indexed="81"/>
            <rFont val="Tahoma"/>
            <family val="2"/>
          </rPr>
          <t xml:space="preserve">kb q1 </t>
        </r>
      </text>
    </comment>
    <comment ref="AG48" authorId="0">
      <text>
        <r>
          <rPr>
            <b/>
            <sz val="9"/>
            <color indexed="81"/>
            <rFont val="Tahoma"/>
            <family val="2"/>
          </rPr>
          <t>JT 25 MEI - 28 MEI</t>
        </r>
      </text>
    </comment>
    <comment ref="AG49" authorId="0">
      <text>
        <r>
          <rPr>
            <b/>
            <sz val="9"/>
            <color indexed="81"/>
            <rFont val="Tahoma"/>
            <family val="2"/>
          </rPr>
          <t>JT 3 JUN - 11 JUN</t>
        </r>
      </text>
    </comment>
    <comment ref="Z58" authorId="0">
      <text>
        <r>
          <rPr>
            <b/>
            <sz val="9"/>
            <color indexed="81"/>
            <rFont val="Tahoma"/>
            <family val="2"/>
          </rPr>
          <t>DC MAR-MEI</t>
        </r>
      </text>
    </comment>
    <comment ref="AF59" authorId="0">
      <text>
        <r>
          <rPr>
            <b/>
            <sz val="9"/>
            <color indexed="81"/>
            <rFont val="Tahoma"/>
            <family val="2"/>
          </rPr>
          <t>JAN-MEI</t>
        </r>
      </text>
    </comment>
  </commentList>
</comments>
</file>

<file path=xl/comments23.xml><?xml version="1.0" encoding="utf-8"?>
<comments xmlns="http://schemas.openxmlformats.org/spreadsheetml/2006/main">
  <authors>
    <author>300-20K</author>
    <author>300-20</author>
  </authors>
  <commentList>
    <comment ref="V18" authorId="0">
      <text>
        <r>
          <rPr>
            <b/>
            <sz val="9"/>
            <color indexed="81"/>
            <rFont val="Tahoma"/>
            <family val="2"/>
          </rPr>
          <t>KB JPA</t>
        </r>
      </text>
    </comment>
    <comment ref="T33" authorId="0">
      <text>
        <r>
          <rPr>
            <b/>
            <sz val="9"/>
            <color indexed="81"/>
            <rFont val="Tahoma"/>
            <family val="2"/>
          </rPr>
          <t>JASA MANAJEMEN Q1 2022 REV 2</t>
        </r>
      </text>
    </comment>
    <comment ref="X33" authorId="0">
      <text>
        <r>
          <rPr>
            <b/>
            <sz val="9"/>
            <color indexed="81"/>
            <rFont val="Tahoma"/>
            <family val="2"/>
          </rPr>
          <t>REV 1 JASA MANAJEMEN APR</t>
        </r>
      </text>
    </comment>
    <comment ref="AF40" authorId="1">
      <text>
        <r>
          <rPr>
            <b/>
            <sz val="9"/>
            <color indexed="81"/>
            <rFont val="Tahoma"/>
            <family val="2"/>
          </rPr>
          <t>JT 25 MEI - 28 MEI</t>
        </r>
      </text>
    </comment>
    <comment ref="AF41" authorId="1">
      <text>
        <r>
          <rPr>
            <b/>
            <sz val="9"/>
            <color indexed="81"/>
            <rFont val="Tahoma"/>
            <family val="2"/>
          </rPr>
          <t>JT 3 JUN - 11 JUN</t>
        </r>
      </text>
    </comment>
    <comment ref="AE46" authorId="0">
      <text>
        <r>
          <rPr>
            <b/>
            <sz val="9"/>
            <color indexed="81"/>
            <rFont val="Tahoma"/>
            <family val="2"/>
          </rPr>
          <t>mi</t>
        </r>
      </text>
    </comment>
    <comment ref="AF48" authorId="1">
      <text>
        <r>
          <rPr>
            <b/>
            <sz val="9"/>
            <color indexed="81"/>
            <rFont val="Tahoma"/>
            <family val="2"/>
          </rPr>
          <t>JAN-MEI</t>
        </r>
      </text>
    </comment>
    <comment ref="AC51" authorId="0">
      <text>
        <r>
          <rPr>
            <b/>
            <sz val="9"/>
            <color indexed="81"/>
            <rFont val="Tahoma"/>
            <family val="2"/>
          </rPr>
          <t>PELUNASAN KAP</t>
        </r>
      </text>
    </comment>
  </commentList>
</comments>
</file>

<file path=xl/comments24.xml><?xml version="1.0" encoding="utf-8"?>
<comments xmlns="http://schemas.openxmlformats.org/spreadsheetml/2006/main">
  <authors>
    <author>300-20K</author>
    <author>300-20</author>
  </authors>
  <commentList>
    <comment ref="F25" authorId="0">
      <text>
        <r>
          <rPr>
            <b/>
            <sz val="9"/>
            <color indexed="81"/>
            <rFont val="Tahoma"/>
            <family val="2"/>
          </rPr>
          <t>SLS HARGA GT MT JUNI +
SLS HARGA KANVAS APR-JUN</t>
        </r>
      </text>
    </comment>
    <comment ref="G25" authorId="0">
      <text>
        <r>
          <rPr>
            <b/>
            <sz val="9"/>
            <color indexed="81"/>
            <rFont val="Tahoma"/>
            <family val="2"/>
          </rPr>
          <t>sls hrg gt mt apr-mei</t>
        </r>
      </text>
    </comment>
    <comment ref="AE26" authorId="0">
      <text>
        <r>
          <rPr>
            <b/>
            <sz val="9"/>
            <color indexed="81"/>
            <rFont val="Tahoma"/>
            <family val="2"/>
          </rPr>
          <t>-klaim</t>
        </r>
      </text>
    </comment>
    <comment ref="G36" authorId="0">
      <text>
        <r>
          <rPr>
            <b/>
            <sz val="9"/>
            <color indexed="81"/>
            <rFont val="Tahoma"/>
            <family val="2"/>
          </rPr>
          <t>jasa manajemen mei</t>
        </r>
      </text>
    </comment>
    <comment ref="U36" authorId="0">
      <text>
        <r>
          <rPr>
            <b/>
            <sz val="9"/>
            <color indexed="81"/>
            <rFont val="Tahoma"/>
            <family val="2"/>
          </rPr>
          <t>jasa manajemen jun</t>
        </r>
      </text>
    </comment>
    <comment ref="Q41" authorId="0">
      <text>
        <r>
          <rPr>
            <b/>
            <sz val="9"/>
            <color indexed="81"/>
            <rFont val="Tahoma"/>
            <family val="2"/>
          </rPr>
          <t>-KLAIM</t>
        </r>
      </text>
    </comment>
    <comment ref="C43" authorId="1">
      <text>
        <r>
          <rPr>
            <b/>
            <sz val="9"/>
            <color indexed="81"/>
            <rFont val="Tahoma"/>
            <family val="2"/>
          </rPr>
          <t>JT 25 MEI - 28 MEI</t>
        </r>
      </text>
    </comment>
    <comment ref="AH43" authorId="1">
      <text>
        <r>
          <rPr>
            <b/>
            <sz val="9"/>
            <color indexed="81"/>
            <rFont val="Tahoma"/>
            <family val="2"/>
          </rPr>
          <t>JT 25 MEI - 28 MEI</t>
        </r>
      </text>
    </comment>
    <comment ref="C44" authorId="1">
      <text>
        <r>
          <rPr>
            <b/>
            <sz val="9"/>
            <color indexed="81"/>
            <rFont val="Tahoma"/>
            <family val="2"/>
          </rPr>
          <t>JT 3 JUN - 11 JUN</t>
        </r>
      </text>
    </comment>
    <comment ref="AH44" authorId="1">
      <text>
        <r>
          <rPr>
            <b/>
            <sz val="9"/>
            <color indexed="81"/>
            <rFont val="Tahoma"/>
            <family val="2"/>
          </rPr>
          <t>JT 3 JUN - 11 JUN</t>
        </r>
      </text>
    </comment>
    <comment ref="G49" authorId="0">
      <text>
        <r>
          <rPr>
            <b/>
            <sz val="9"/>
            <color indexed="81"/>
            <rFont val="Tahoma"/>
            <family val="2"/>
          </rPr>
          <t>dbw</t>
        </r>
      </text>
    </comment>
    <comment ref="AH50" authorId="0">
      <text>
        <r>
          <rPr>
            <b/>
            <sz val="9"/>
            <color indexed="81"/>
            <rFont val="Tahoma"/>
            <family val="2"/>
          </rPr>
          <t>MF JUNI</t>
        </r>
      </text>
    </comment>
    <comment ref="C51" authorId="1">
      <text>
        <r>
          <rPr>
            <b/>
            <sz val="9"/>
            <color indexed="81"/>
            <rFont val="Tahoma"/>
            <family val="2"/>
          </rPr>
          <t>JAN-MEI</t>
        </r>
      </text>
    </comment>
    <comment ref="AH51" authorId="1">
      <text>
        <r>
          <rPr>
            <b/>
            <sz val="9"/>
            <color indexed="81"/>
            <rFont val="Tahoma"/>
            <family val="2"/>
          </rPr>
          <t>JAN-MEI</t>
        </r>
      </text>
    </comment>
    <comment ref="AF55" authorId="0">
      <text>
        <r>
          <rPr>
            <b/>
            <sz val="9"/>
            <color indexed="81"/>
            <rFont val="Tahoma"/>
            <family val="2"/>
          </rPr>
          <t>SEWA PKL, PWT, SLT</t>
        </r>
      </text>
    </comment>
    <comment ref="AH55" authorId="0">
      <text>
        <r>
          <rPr>
            <b/>
            <sz val="9"/>
            <color indexed="81"/>
            <rFont val="Tahoma"/>
            <family val="2"/>
          </rPr>
          <t>SEWA PKL, PWT, SLT</t>
        </r>
      </text>
    </comment>
  </commentList>
</comments>
</file>

<file path=xl/comments25.xml><?xml version="1.0" encoding="utf-8"?>
<comments xmlns="http://schemas.openxmlformats.org/spreadsheetml/2006/main">
  <authors>
    <author>300-20K</author>
    <author>300-20</author>
  </authors>
  <commentList>
    <comment ref="H21" authorId="0">
      <text>
        <r>
          <rPr>
            <b/>
            <sz val="9"/>
            <color indexed="81"/>
            <rFont val="Tahoma"/>
            <family val="2"/>
          </rPr>
          <t>-KLAIM</t>
        </r>
      </text>
    </comment>
    <comment ref="AB37" authorId="0">
      <text>
        <r>
          <rPr>
            <b/>
            <sz val="9"/>
            <color indexed="81"/>
            <rFont val="Tahoma"/>
            <family val="2"/>
          </rPr>
          <t>JASA MANAGEMENT JULI</t>
        </r>
      </text>
    </comment>
    <comment ref="AH44" authorId="1">
      <text>
        <r>
          <rPr>
            <b/>
            <sz val="9"/>
            <color indexed="81"/>
            <rFont val="Tahoma"/>
            <family val="2"/>
          </rPr>
          <t>JT 25 MEI - 28 MEI</t>
        </r>
      </text>
    </comment>
    <comment ref="AH45" authorId="1">
      <text>
        <r>
          <rPr>
            <b/>
            <sz val="9"/>
            <color indexed="81"/>
            <rFont val="Tahoma"/>
            <family val="2"/>
          </rPr>
          <t>JT 3 JUN - 11 JUN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-KLAIM</t>
        </r>
      </text>
    </comment>
    <comment ref="K51" authorId="0">
      <text>
        <r>
          <rPr>
            <b/>
            <sz val="9"/>
            <color indexed="81"/>
            <rFont val="Tahoma"/>
            <family val="2"/>
          </rPr>
          <t>MF JUN, JUL, AGT</t>
        </r>
      </text>
    </comment>
    <comment ref="AH51" authorId="0">
      <text>
        <r>
          <rPr>
            <b/>
            <sz val="9"/>
            <color indexed="81"/>
            <rFont val="Tahoma"/>
            <family val="2"/>
          </rPr>
          <t>MF JUNI</t>
        </r>
      </text>
    </comment>
    <comment ref="AH52" authorId="1">
      <text>
        <r>
          <rPr>
            <b/>
            <sz val="9"/>
            <color indexed="81"/>
            <rFont val="Tahoma"/>
            <family val="2"/>
          </rPr>
          <t>JAN-MEI</t>
        </r>
      </text>
    </comment>
    <comment ref="K56" authorId="0">
      <text>
        <r>
          <rPr>
            <b/>
            <sz val="9"/>
            <color indexed="81"/>
            <rFont val="Tahoma"/>
            <family val="2"/>
          </rPr>
          <t>SEWA PWT, SLT</t>
        </r>
      </text>
    </comment>
    <comment ref="AH56" authorId="0">
      <text>
        <r>
          <rPr>
            <b/>
            <sz val="9"/>
            <color indexed="81"/>
            <rFont val="Tahoma"/>
            <family val="2"/>
          </rPr>
          <t>SEWA PKL, PWT, SLT</t>
        </r>
      </text>
    </comment>
  </commentList>
</comments>
</file>

<file path=xl/comments26.xml><?xml version="1.0" encoding="utf-8"?>
<comments xmlns="http://schemas.openxmlformats.org/spreadsheetml/2006/main">
  <authors>
    <author>300-20K</author>
    <author>300-20</author>
  </authors>
  <commentList>
    <comment ref="AB37" authorId="0">
      <text>
        <r>
          <rPr>
            <b/>
            <sz val="9"/>
            <color indexed="81"/>
            <rFont val="Tahoma"/>
            <family val="2"/>
          </rPr>
          <t>JASA MANAGEMENT JULI</t>
        </r>
      </text>
    </comment>
    <comment ref="AH44" authorId="1">
      <text>
        <r>
          <rPr>
            <b/>
            <sz val="9"/>
            <color indexed="81"/>
            <rFont val="Tahoma"/>
            <family val="2"/>
          </rPr>
          <t>JT 25 MEI - 28 MEI</t>
        </r>
      </text>
    </comment>
    <comment ref="AH45" authorId="1">
      <text>
        <r>
          <rPr>
            <b/>
            <sz val="9"/>
            <color indexed="81"/>
            <rFont val="Tahoma"/>
            <family val="2"/>
          </rPr>
          <t>JT 3 JUN - 11 JUN</t>
        </r>
      </text>
    </comment>
    <comment ref="G51" authorId="0">
      <text>
        <r>
          <rPr>
            <b/>
            <sz val="9"/>
            <color indexed="81"/>
            <rFont val="Tahoma"/>
            <family val="2"/>
          </rPr>
          <t>SAS + NGADIMUN</t>
        </r>
      </text>
    </comment>
    <comment ref="H51" authorId="0">
      <text>
        <r>
          <rPr>
            <b/>
            <sz val="9"/>
            <color indexed="81"/>
            <rFont val="Tahoma"/>
            <family val="2"/>
          </rPr>
          <t>NGADIMUN BCA</t>
        </r>
      </text>
    </comment>
    <comment ref="AH51" authorId="0">
      <text>
        <r>
          <rPr>
            <b/>
            <sz val="9"/>
            <color indexed="81"/>
            <rFont val="Tahoma"/>
            <family val="2"/>
          </rPr>
          <t>MF JUNI</t>
        </r>
      </text>
    </comment>
    <comment ref="AH52" authorId="1">
      <text>
        <r>
          <rPr>
            <b/>
            <sz val="9"/>
            <color indexed="81"/>
            <rFont val="Tahoma"/>
            <family val="2"/>
          </rPr>
          <t>JAN-MEI</t>
        </r>
      </text>
    </comment>
    <comment ref="H55" authorId="0">
      <text>
        <r>
          <rPr>
            <b/>
            <sz val="9"/>
            <color indexed="81"/>
            <rFont val="Tahoma"/>
            <family val="2"/>
          </rPr>
          <t>REFUND</t>
        </r>
      </text>
    </comment>
    <comment ref="T56" authorId="0">
      <text>
        <r>
          <rPr>
            <b/>
            <sz val="9"/>
            <color indexed="81"/>
            <rFont val="Tahoma"/>
            <family val="2"/>
          </rPr>
          <t>SEWA PWT, SEWA SLT GDG MTX JAN-SEP, MF AGT-SEP, GRATIFIKASI 2021 +</t>
        </r>
      </text>
    </comment>
    <comment ref="AH56" authorId="0">
      <text>
        <r>
          <rPr>
            <b/>
            <sz val="9"/>
            <color indexed="81"/>
            <rFont val="Tahoma"/>
            <family val="2"/>
          </rPr>
          <t>SEWA PKL, PWT, SLT</t>
        </r>
      </text>
    </comment>
  </commentList>
</comments>
</file>

<file path=xl/sharedStrings.xml><?xml version="1.0" encoding="utf-8"?>
<sst xmlns="http://schemas.openxmlformats.org/spreadsheetml/2006/main" count="5016" uniqueCount="923">
  <si>
    <t>PT.B - MITRA SEHATI SEKATA</t>
  </si>
  <si>
    <t>JADWAL PEMBAYARAN</t>
  </si>
  <si>
    <t>BULAN :</t>
  </si>
  <si>
    <t>DESCRIPTION</t>
  </si>
  <si>
    <t>ACC NOMBER</t>
  </si>
  <si>
    <t>TANGGAL</t>
  </si>
  <si>
    <t>TOTAL</t>
  </si>
  <si>
    <t>PRINCIPLE :</t>
  </si>
  <si>
    <t>ARNOTTS INDONESIA PT</t>
  </si>
  <si>
    <t>ARNOTTS INDONESIA PT - FESTIVE</t>
  </si>
  <si>
    <t>BERILL JAYA SEJAHTERA PT</t>
  </si>
  <si>
    <t>CITRA FOOD ABADI PT</t>
  </si>
  <si>
    <t>CERES - GFI</t>
  </si>
  <si>
    <t>CERES - NLS</t>
  </si>
  <si>
    <t>CERES - PIC</t>
  </si>
  <si>
    <t>DUNIA BINTANG WALET PT</t>
  </si>
  <si>
    <t>ELLEAIR INT'L TRD INDONESIA PT</t>
  </si>
  <si>
    <t>EVER BRIGHT PT</t>
  </si>
  <si>
    <t>FONTERRA BRANDS INDONESIA PT</t>
  </si>
  <si>
    <t>GRAHA INTI MAS PT</t>
  </si>
  <si>
    <t>INTRAFOOD PT</t>
  </si>
  <si>
    <t>MADUSARI NUSAPERDANA PT</t>
  </si>
  <si>
    <t>MARKETAMA INDAH PT</t>
  </si>
  <si>
    <t>MATAHARI JAYA BERSAMA PT</t>
  </si>
  <si>
    <t>MOTASA INDONESIA PT</t>
  </si>
  <si>
    <t>MULIA BOGA RAYA PT - FD</t>
  </si>
  <si>
    <t>MULIA BOGA RAYA PT - KONSINYASI</t>
  </si>
  <si>
    <t>RUBBER DUCK SNACK INDUSTRI PT</t>
  </si>
  <si>
    <t>SPS - PT. SPS</t>
  </si>
  <si>
    <t>SPS - PT. SAN</t>
  </si>
  <si>
    <t>YUPI INDO JELLY GUM</t>
  </si>
  <si>
    <t>YUPI TRADING INTERNATIONAL PT</t>
  </si>
  <si>
    <t>TOTAL PRINCIPLE :</t>
  </si>
  <si>
    <t>HUTANG BANK :</t>
  </si>
  <si>
    <t>MTX BCA</t>
  </si>
  <si>
    <t>MTX HSBC</t>
  </si>
  <si>
    <t>MTX OCBC</t>
  </si>
  <si>
    <t>MTX DIFI NIAGA MIN - 1</t>
  </si>
  <si>
    <t>MTX DIFI NIAGA MIN - 2</t>
  </si>
  <si>
    <t>MTX DIFI NIAGA YIJG - 1</t>
  </si>
  <si>
    <t>MTX DIFI NIAGA YIJG - 2</t>
  </si>
  <si>
    <t>TOTAL HUTANG BANK</t>
  </si>
  <si>
    <t>GRAND TOTAL</t>
  </si>
  <si>
    <t>JAVAPRIMA ABADI PT - 30 HARI</t>
  </si>
  <si>
    <t>JAVAPRIMA ABADI PT - 07 HARI</t>
  </si>
  <si>
    <t>MEKAR SUKSES PERKASA PT</t>
  </si>
  <si>
    <t>OTHERS - 1</t>
  </si>
  <si>
    <t>OTHERS - 2</t>
  </si>
  <si>
    <t>AGARINDO BOGATAMA PT - 07 HARI</t>
  </si>
  <si>
    <t>AGARINDO BOGATAMA PT - 30 HARI</t>
  </si>
  <si>
    <t>SALDO</t>
  </si>
  <si>
    <t xml:space="preserve">KURANG </t>
  </si>
  <si>
    <t xml:space="preserve">                                     </t>
  </si>
  <si>
    <t>MTX DIFI DANAMON FBI-1</t>
  </si>
  <si>
    <t>MTX DIFI DANAMON FBI-2</t>
  </si>
  <si>
    <t xml:space="preserve">2 NIOV </t>
  </si>
  <si>
    <t>1 NOV</t>
  </si>
  <si>
    <t>3 NOV</t>
  </si>
  <si>
    <t>4 NOV</t>
  </si>
  <si>
    <t>5 NOV</t>
  </si>
  <si>
    <t>6 NOV</t>
  </si>
  <si>
    <t>7 NOV</t>
  </si>
  <si>
    <t>8 NOV</t>
  </si>
  <si>
    <t>9 NOV</t>
  </si>
  <si>
    <t>KURANG/SISA</t>
  </si>
  <si>
    <t>10 NOV</t>
  </si>
  <si>
    <t>11 NOV</t>
  </si>
  <si>
    <t>12 NOV</t>
  </si>
  <si>
    <t>13 NOV</t>
  </si>
  <si>
    <t>14 NOV</t>
  </si>
  <si>
    <t>15 NOV</t>
  </si>
  <si>
    <t>16 NOV</t>
  </si>
  <si>
    <t>17 NOV</t>
  </si>
  <si>
    <t>18 NOV</t>
  </si>
  <si>
    <t>19 NOV</t>
  </si>
  <si>
    <t>20 NOV</t>
  </si>
  <si>
    <t>21 NOV</t>
  </si>
  <si>
    <t>22 NOV</t>
  </si>
  <si>
    <t>23 NOV</t>
  </si>
  <si>
    <t>24 NOV</t>
  </si>
  <si>
    <t>25 NOV</t>
  </si>
  <si>
    <t>26 NOV</t>
  </si>
  <si>
    <t>27 NOV</t>
  </si>
  <si>
    <t>28 NOV</t>
  </si>
  <si>
    <t>29 NOV</t>
  </si>
  <si>
    <t>30 NOV</t>
  </si>
  <si>
    <t>31 NOV</t>
  </si>
  <si>
    <t>L</t>
  </si>
  <si>
    <t xml:space="preserve">  </t>
  </si>
  <si>
    <t xml:space="preserve"> </t>
  </si>
  <si>
    <t xml:space="preserve">AGB HARI SENIN </t>
  </si>
  <si>
    <t xml:space="preserve">SMG-SLT </t>
  </si>
  <si>
    <t>BG BRP ?</t>
  </si>
  <si>
    <t>AGB</t>
  </si>
  <si>
    <t>SGI</t>
  </si>
  <si>
    <t xml:space="preserve">CADANGAN </t>
  </si>
  <si>
    <t>MTX KOSONGAN</t>
  </si>
  <si>
    <t>LIST PRINCIPLE PEGANG BG BRP</t>
  </si>
  <si>
    <t xml:space="preserve">PB </t>
  </si>
  <si>
    <t xml:space="preserve">PRINCIPLE </t>
  </si>
  <si>
    <t xml:space="preserve">DEPO </t>
  </si>
  <si>
    <t>LNSNG BIKIN NAMANYA 12</t>
  </si>
  <si>
    <t>F</t>
  </si>
  <si>
    <t>saldo pagi</t>
  </si>
  <si>
    <t>min</t>
  </si>
  <si>
    <t>mi</t>
  </si>
  <si>
    <t>ever</t>
  </si>
  <si>
    <t>A</t>
  </si>
  <si>
    <t>S</t>
  </si>
  <si>
    <t xml:space="preserve">SBG </t>
  </si>
  <si>
    <t>SISA</t>
  </si>
  <si>
    <t>D</t>
  </si>
  <si>
    <t>d</t>
  </si>
  <si>
    <t>SBG SMG</t>
  </si>
  <si>
    <t xml:space="preserve">SBG YK </t>
  </si>
  <si>
    <t>PMU</t>
  </si>
  <si>
    <t xml:space="preserve">SBG CIREBON </t>
  </si>
  <si>
    <t>TGL 1 MIN</t>
  </si>
  <si>
    <t xml:space="preserve">RAU </t>
  </si>
  <si>
    <t xml:space="preserve">NABUNG </t>
  </si>
  <si>
    <t>CILACAP</t>
  </si>
  <si>
    <t>KEBUMEN</t>
  </si>
  <si>
    <t xml:space="preserve">MAGELANG </t>
  </si>
  <si>
    <t>PURWOKERTO</t>
  </si>
  <si>
    <t>SOLO</t>
  </si>
  <si>
    <t>YOGYAKARTA</t>
  </si>
  <si>
    <t>INC FOYU GM, RSM, HOC, WHOC</t>
  </si>
  <si>
    <t>PEKALONGAN</t>
  </si>
  <si>
    <t>DIPO STAR</t>
  </si>
  <si>
    <t>ACCU</t>
  </si>
  <si>
    <t>JAMSOSTEK</t>
  </si>
  <si>
    <t>BLORA</t>
  </si>
  <si>
    <t>PATI</t>
  </si>
  <si>
    <t>SALATIGA</t>
  </si>
  <si>
    <t>SEMARANG</t>
  </si>
  <si>
    <t>TEGAL</t>
  </si>
  <si>
    <t>MAGELANG</t>
  </si>
  <si>
    <t xml:space="preserve">RENTOKIL </t>
  </si>
  <si>
    <t>RSM PANTURA -INC JPA</t>
  </si>
  <si>
    <t>SISA/KURANG</t>
  </si>
  <si>
    <t>MTX UOB</t>
  </si>
  <si>
    <t>MEKAR SUKSES PERKASA PT 1</t>
  </si>
  <si>
    <t>MEKAR SUKSES PERKASA PT 2</t>
  </si>
  <si>
    <t>MEKAR SUKSES PERKASA PT 3</t>
  </si>
  <si>
    <t>MEKAR SUKSES PERKASA PT 4</t>
  </si>
  <si>
    <t>MEKAR SUKSES PERKASA PT 5</t>
  </si>
  <si>
    <t>MEKAR SUKSES PERKASA PT 6</t>
  </si>
  <si>
    <t>MIS 1</t>
  </si>
  <si>
    <t>MIS 2</t>
  </si>
  <si>
    <t>MIS 3</t>
  </si>
  <si>
    <t>MIS 4</t>
  </si>
  <si>
    <t>MIS 5</t>
  </si>
  <si>
    <t>MULIA BOGA RAYA PT - FD 1</t>
  </si>
  <si>
    <t>MULIA BOGA RAYA PT - FD 2</t>
  </si>
  <si>
    <t>MULIA BOGA RAYA PT - FD 3</t>
  </si>
  <si>
    <t>MULIA BOGA RAYA PT - KONSINYASI 1</t>
  </si>
  <si>
    <t>MULIA BOGA RAYA PT - KONSINYASI 2</t>
  </si>
  <si>
    <t>MULIA BOGA RAYA PT - KONSINYASI 3</t>
  </si>
  <si>
    <t>PMU 1</t>
  </si>
  <si>
    <t>PMU 2</t>
  </si>
  <si>
    <t>PMU 3</t>
  </si>
  <si>
    <t>PMU 4</t>
  </si>
  <si>
    <t xml:space="preserve">MULIA BOGA RAYA PT - KONSINYASI </t>
  </si>
  <si>
    <t>JAVAPRIMA ABADI PT - 07 HARI 01</t>
  </si>
  <si>
    <t>JAVAPRIMA ABADI PT - 07 HARI 02</t>
  </si>
  <si>
    <t>SBG SMG 01</t>
  </si>
  <si>
    <t>SBG SMG 02</t>
  </si>
  <si>
    <t xml:space="preserve">BG JT 30 JUNI </t>
  </si>
  <si>
    <t xml:space="preserve">JT AGT </t>
  </si>
  <si>
    <t>5 M</t>
  </si>
  <si>
    <t>SBG SMG CADANGAN</t>
  </si>
  <si>
    <t>SBG YK CADANGAN</t>
  </si>
  <si>
    <t>SBG CIREBON CADANGAN</t>
  </si>
  <si>
    <t>MSP JT 30 MEI</t>
  </si>
  <si>
    <t>MSP JT 3 JUN 8 JUN10 JUN</t>
  </si>
  <si>
    <t>MTX DIFI NIAGA YIJG 1</t>
  </si>
  <si>
    <t>MTX DIFI NIAGA YIJG 2</t>
  </si>
  <si>
    <t>PMU 5</t>
  </si>
  <si>
    <t>PMU 6</t>
  </si>
  <si>
    <t>PMU 7</t>
  </si>
  <si>
    <t>MULIA BOGA RAYA PT - LS</t>
  </si>
  <si>
    <t>PENERIMAAN COLL</t>
  </si>
  <si>
    <t>SBG SMG JT 27 MEI</t>
  </si>
  <si>
    <t>SBG SMG  JT 7 JUN- 5 JUL</t>
  </si>
  <si>
    <t xml:space="preserve">JAVAPRIMA ABADI PT - 30 HARI JT 23 JUN </t>
  </si>
  <si>
    <t xml:space="preserve">JAVAPRIMA ABADI PT - 30 HARI JT 24 JUN </t>
  </si>
  <si>
    <t xml:space="preserve">JAVAPRIMA ABADI PT - 30 HARI JT 26 JUN </t>
  </si>
  <si>
    <t>MIS JT 14 MEI</t>
  </si>
  <si>
    <t>MIS JT 15 MEI</t>
  </si>
  <si>
    <t>CITRA FOOD ABADI PT 1</t>
  </si>
  <si>
    <t>CITRA FOOD ABADI PT PENYELESAIAN</t>
  </si>
  <si>
    <t>FAVORIT JAYA FOOD PENYELESAIAN</t>
  </si>
  <si>
    <t>MATAHARI JAYA BERSAMA 30 JUN</t>
  </si>
  <si>
    <t>MATAHARI JAYA BERSAMA CBD</t>
  </si>
  <si>
    <t>MATAHARI JAYA BERSAMA 20 JUN</t>
  </si>
  <si>
    <t>SBG CIREBON JT 24 MEI</t>
  </si>
  <si>
    <t>SBG CIREBON JT 26 MEI</t>
  </si>
  <si>
    <t>SBG CIREBON JT 28 JUNI</t>
  </si>
  <si>
    <t>BUNGA PELUNASAN BCA</t>
  </si>
  <si>
    <t>BUNGA PELUNASAN HSBC</t>
  </si>
  <si>
    <t>BUNGA PELUNASAN UOB</t>
  </si>
  <si>
    <t>BUNGA DIFI MIN</t>
  </si>
  <si>
    <t>BUNGA DIFI YIJG</t>
  </si>
  <si>
    <t>BUNGA DIFI FBI</t>
  </si>
  <si>
    <t xml:space="preserve">JAVAPRIMA ABADI PT - 30 HARI </t>
  </si>
  <si>
    <t>CITRA FOOD ABADI PT JT 11 JUN</t>
  </si>
  <si>
    <t>CITRA FOOD ABADI PT JT 3 JUL</t>
  </si>
  <si>
    <t>MIS JT 21 MEI</t>
  </si>
  <si>
    <t>MIS JT 16 MEI</t>
  </si>
  <si>
    <t>MIS JT 20 MEI</t>
  </si>
  <si>
    <t>MTX HSBC JT 18 JUL</t>
  </si>
  <si>
    <t>MTX UOB JT 18 JUL</t>
  </si>
  <si>
    <t>MTX HSBC JT 16 JUL</t>
  </si>
  <si>
    <t>PINDAH DANA</t>
  </si>
  <si>
    <t>DUNIA BINTANG WALET PT 1 7 hr</t>
  </si>
  <si>
    <t>DUNIA BINTANG WALET PT 2 7 hr</t>
  </si>
  <si>
    <t>SBG YK JT 10 MEI '21</t>
  </si>
  <si>
    <t>SBG YK JT 27 MAR - 29 MAR '21</t>
  </si>
  <si>
    <t>SBG YK JT 20 MEI '21</t>
  </si>
  <si>
    <t>SBG SMG JT 7 JUN</t>
  </si>
  <si>
    <t>SBG SMG  JT 7 JUN</t>
  </si>
  <si>
    <t>SBG SMG  JT 9 JUN</t>
  </si>
  <si>
    <t>SBG SMG  JT 5 JUL</t>
  </si>
  <si>
    <t>SBG YK JT 21 MEI '21</t>
  </si>
  <si>
    <t>ELLEAIR INT'L TRD INDONESIA PT 1</t>
  </si>
  <si>
    <t>ELLEAIR INT'L TRD INDONESIA PT 2</t>
  </si>
  <si>
    <t>ELLEAIR INT'L TRD INDONESIA PT 3</t>
  </si>
  <si>
    <t>MTX HBSC</t>
  </si>
  <si>
    <t xml:space="preserve">MTX UOB </t>
  </si>
  <si>
    <t>TGL</t>
  </si>
  <si>
    <t xml:space="preserve">TUJUAN </t>
  </si>
  <si>
    <t xml:space="preserve">NOMINAL </t>
  </si>
  <si>
    <t xml:space="preserve">MSS PWT </t>
  </si>
  <si>
    <t>KETERANGAN</t>
  </si>
  <si>
    <t xml:space="preserve">TES SWAB </t>
  </si>
  <si>
    <t xml:space="preserve">INDOJAYA PAPER </t>
  </si>
  <si>
    <t>JOGJA SPEED</t>
  </si>
  <si>
    <t>2 BAN BARU CILA &amp; 1 BAN BARU PWT</t>
  </si>
  <si>
    <t>KERTAS HVS A4 JUL '21</t>
  </si>
  <si>
    <t>CF DEPAPER JUL '21</t>
  </si>
  <si>
    <t>RENCANA PENGELUARAN OPR TGL 21 JUL '21</t>
  </si>
  <si>
    <t>JUMLAH</t>
  </si>
  <si>
    <t>BUNGA PELUNASAN OCBC</t>
  </si>
  <si>
    <t>SBG YK  JT 23 MEI '21</t>
  </si>
  <si>
    <t>SBG YK  JT 4 JUN '21</t>
  </si>
  <si>
    <t>MIS JT BLM TAU</t>
  </si>
  <si>
    <t>MSP JT 8 JUN</t>
  </si>
  <si>
    <t>MSP JT 10 JUN</t>
  </si>
  <si>
    <t xml:space="preserve">MSP JT 25  JUL </t>
  </si>
  <si>
    <t xml:space="preserve">MSP JT 27  JUL </t>
  </si>
  <si>
    <t xml:space="preserve">MSP JT 31  JUL </t>
  </si>
  <si>
    <t>RAU APA INI</t>
  </si>
  <si>
    <t>SBG SMG  JT 18 JUL</t>
  </si>
  <si>
    <t xml:space="preserve">YIJG </t>
  </si>
  <si>
    <t>MIS JT BLM TAU YG MANAJT 7 JUN</t>
  </si>
  <si>
    <t>MIS JT BLM TAU YG MANAJT 25-27 JUN</t>
  </si>
  <si>
    <t xml:space="preserve">MATAHARI JAYA BERSAMA 27 Jul </t>
  </si>
  <si>
    <t>`</t>
  </si>
  <si>
    <t>RAU PERCEPATAN</t>
  </si>
  <si>
    <t>MARKETAMA INDAH PT 1</t>
  </si>
  <si>
    <t>MARKETAMA INDAH PT 2</t>
  </si>
  <si>
    <t>DUNIA BINTANG WALET PT 7 hr</t>
  </si>
  <si>
    <t>SBG SMG  JT 21 AGT</t>
  </si>
  <si>
    <t xml:space="preserve">MIS JT 19 JUL </t>
  </si>
  <si>
    <t>MIS JT 23 JUL</t>
  </si>
  <si>
    <t>MBR JT 23-28 JULI '21</t>
  </si>
  <si>
    <t>ELLEAIR INT'L TRD INDONESIA PT 16 JUL</t>
  </si>
  <si>
    <t>ELLEAIR INT'L TRD INDONESIA PT 17 JUL</t>
  </si>
  <si>
    <t>ELLEAIR INT'L TRD INDONESIA PT 18 JUL</t>
  </si>
  <si>
    <t>ELLEAIR INT'L TRD INDONESIA PT 9 AGT</t>
  </si>
  <si>
    <t>ELLEAIR INT'L TRD INDONESIA PT 10 AGT</t>
  </si>
  <si>
    <t>ELLEAIR INT'L TRD INDONESIA PT 12 AGT</t>
  </si>
  <si>
    <t>ELLEAIR INT'L TRD INDONESIA PT 13 AGT</t>
  </si>
  <si>
    <t>ELLEAIR INT'L TRD INDONESIA PT 26 AGT</t>
  </si>
  <si>
    <t>ELLEAIR INT'L TRD INDONESIA PT 27 AGT</t>
  </si>
  <si>
    <t>ELLEAIR INT'L TRD INDONESIA PT 28 AGT</t>
  </si>
  <si>
    <t>MULIA BOGA RAYA PT - FD 29 JUL</t>
  </si>
  <si>
    <t>MULIA BOGA RAYA PT - FD 30 JUL</t>
  </si>
  <si>
    <t>MULIA BOGA RAYA PT - FD 31 JUL</t>
  </si>
  <si>
    <t>MULIA BOGA RAYA PT - FD 1 AGT</t>
  </si>
  <si>
    <t>MULIA BOGA RAYA PT - FD 18 AGT</t>
  </si>
  <si>
    <t>MIS JT 16 MEI 1</t>
  </si>
  <si>
    <t>MIS JT 16 MEI 2</t>
  </si>
  <si>
    <t>MIS SISA DANA TITIPAN</t>
  </si>
  <si>
    <t>MIS JT 1 SEP</t>
  </si>
  <si>
    <t>MULIA BOGA RAYA PT - FD 30 AGT</t>
  </si>
  <si>
    <t>MULIA BOGA RAYA PT - FD 29 AGT</t>
  </si>
  <si>
    <t>MULIA BOGA RAYA PT - FD 1 SEP</t>
  </si>
  <si>
    <t>MULIA BOGA RAYA PT - FD 2 SEP</t>
  </si>
  <si>
    <t xml:space="preserve">MBR FS JT 5 SEP </t>
  </si>
  <si>
    <t>RAU JT 4-6 SEP</t>
  </si>
  <si>
    <t>RAU 7 SEP</t>
  </si>
  <si>
    <t>YUPI TRADING INTERNATIONAL PT JT 11 &amp; 12 SEP</t>
  </si>
  <si>
    <t>YTI JT 11 &amp; 12 SEP</t>
  </si>
  <si>
    <t>YTI JT 1 SEP</t>
  </si>
  <si>
    <t xml:space="preserve">MBR FS JT 5 &amp; 6 AGT </t>
  </si>
  <si>
    <t>MBR FS JT 5 SEP</t>
  </si>
  <si>
    <t>MADUSARI NUSAPERDANA PT JT 8 SEP</t>
  </si>
  <si>
    <t>JAVAPRIMA ABADI PT - 30 HARI JT 11 SEP</t>
  </si>
  <si>
    <t>JAVAPRIMA ABADI PT - 30 HARI JT 12 SEP</t>
  </si>
  <si>
    <t>MULIA BOGA RAYA PT  FS JT 8 SEP&amp; 9 SEP</t>
  </si>
  <si>
    <t>PMU JT 9 &amp; 11 MEI</t>
  </si>
  <si>
    <t>PMU JT 19 APR</t>
  </si>
  <si>
    <t>PMU JT 12 MEI</t>
  </si>
  <si>
    <t>PMU JT 16-21 JUNI</t>
  </si>
  <si>
    <t>ARNOTTS INDONESIA PT JT 20 SEP</t>
  </si>
  <si>
    <t xml:space="preserve">SGI (AGB)- 30 HARI JT 9&amp;10 SEP </t>
  </si>
  <si>
    <t>ELLEAIR INT'L TRD INDONESIA PT 13 SEP</t>
  </si>
  <si>
    <t>ELLEAIR INT'L TRD INDONESIA PT 14 SEP</t>
  </si>
  <si>
    <t>RAU14-15 sep</t>
  </si>
  <si>
    <t>ARNOTTS INDONESIA PT JT 17 SEP</t>
  </si>
  <si>
    <t>MULIA BOGA RAYA PT - FD 20 SEP</t>
  </si>
  <si>
    <t>MULIA BOGA RAYA PT - FD 22 SEP</t>
  </si>
  <si>
    <t>MULIA BOGA RAYA PT - FD 23 SEP</t>
  </si>
  <si>
    <t>MULIA BOGA RAYA PT - FD 24 SEP</t>
  </si>
  <si>
    <t>MULIA BOGA RAYA PT - FD 25 SEP</t>
  </si>
  <si>
    <t>MBR FS 24 SEP</t>
  </si>
  <si>
    <t>MADUSARI NUSAPERDANA PT JT 23 SEP</t>
  </si>
  <si>
    <t>JAVAPRIMA ABADI PT 4 HR</t>
  </si>
  <si>
    <t>MULIA BOGA RAYA PT - FD 29 SEP</t>
  </si>
  <si>
    <t>MBR SELISIH HARGA Q1 JT 26 SEP</t>
  </si>
  <si>
    <t>MEKAR SUKSES PERKASA  JT 30 MEI</t>
  </si>
  <si>
    <t>MEKAR SUKSES PERKASA JT 3 JUN 8 JUN10 JUN</t>
  </si>
  <si>
    <t xml:space="preserve">MEKAR SUKSES PERKASA JT 25  JUL </t>
  </si>
  <si>
    <t xml:space="preserve">MEKAR SUKSES PERKASA  JT 27  JUL </t>
  </si>
  <si>
    <t xml:space="preserve">MEKAR SUKSES PERKASA  JT 31  JUL </t>
  </si>
  <si>
    <t>MEDHISHOP JT 16 MEI 1</t>
  </si>
  <si>
    <t xml:space="preserve">MEDHISHOP JT 19 JUL </t>
  </si>
  <si>
    <t>MEDHISHOP  JT 23 JUL</t>
  </si>
  <si>
    <t>MEDHISHOP  JT BLM TAU</t>
  </si>
  <si>
    <t>MEDHISHOP  JT 1 SEP</t>
  </si>
  <si>
    <t>MBR SELISIH HARGA Q2 JT JT 20 OKT</t>
  </si>
  <si>
    <t>MULIA BOGA RAYA PT FS 24 SEP</t>
  </si>
  <si>
    <t>PANGAN MULIA UTAMA JT 19 APR</t>
  </si>
  <si>
    <t>PANGAN MULIA UTAMA JT 9 &amp; 11 MEI</t>
  </si>
  <si>
    <t>PANGAN MULIA UTAMA JT 12 MEI</t>
  </si>
  <si>
    <t>PANGAN MULIA UTAMA JT 16-21 JUNI</t>
  </si>
  <si>
    <t>RASAKITA ADHIKARI UTAMA</t>
  </si>
  <si>
    <t>SUNGAI BUDI SMG  JT 9 JUN</t>
  </si>
  <si>
    <t>SUNGAI BUDISMG  JT 5 JUL</t>
  </si>
  <si>
    <t>SUNGAI BUDI SMG  JT 18 JUL</t>
  </si>
  <si>
    <t>SUNGAI BUDI SMG  JT 21 AGT</t>
  </si>
  <si>
    <t>SUNGAI BUDI YK JT 21 MEI '21</t>
  </si>
  <si>
    <t>SUNGAI BUDI YK  JT 23 MEI '21</t>
  </si>
  <si>
    <t>SUNGAI BUDI YK  JT 4 JUN '21</t>
  </si>
  <si>
    <t>SUNGAI BUDI CIREBON JT 26 MEI</t>
  </si>
  <si>
    <t>SUNGAI BUDI CIREBON JT 28 JUNI</t>
  </si>
  <si>
    <t xml:space="preserve">YUPI TRADING </t>
  </si>
  <si>
    <t>MADUSARI NUSAPERDANA PT 30 HR</t>
  </si>
  <si>
    <t>ELLEAIR INT'L TRD INDONESIA PT 30 SEP</t>
  </si>
  <si>
    <t xml:space="preserve">MARKETAMA INDAH PT </t>
  </si>
  <si>
    <t>MEKAR SUKSES PERKASA PT  JT 7 MEI</t>
  </si>
  <si>
    <t>MEKAR SUKSES PERKASA PT JT 9 MEI</t>
  </si>
  <si>
    <t>MEKAR SUKSES PERKASA PT JT 11 MEI</t>
  </si>
  <si>
    <t>MADUSARI NUSAPERDANA PT 7 HR</t>
  </si>
  <si>
    <t>MADUSARI NUSAPERDANA PT 7 HR JT 5 OKT</t>
  </si>
  <si>
    <t>AGARINDO BOGATAMA PT 7HR</t>
  </si>
  <si>
    <t>AGB TABUNGAN CBD</t>
  </si>
  <si>
    <t>MULIA BOGA RAYA PT FS 5 OKT</t>
  </si>
  <si>
    <t>MULIA BOGA RAYA PT FS 8 OKT</t>
  </si>
  <si>
    <t>ELLEAIR INT'L TRD INDONESIA PT 14 OKT</t>
  </si>
  <si>
    <t>ELLEAIR INT'L TRD INDONESIA PT 16 OKT</t>
  </si>
  <si>
    <t>MULIA BOGA RAYA PT FS 14 OKT</t>
  </si>
  <si>
    <t>ARNOTTS INDONESIA PT JT 12 OKT</t>
  </si>
  <si>
    <t>ARNOTTS INDONESIA PT 14 OKT</t>
  </si>
  <si>
    <t>DBW TABUNGAN CBD 2</t>
  </si>
  <si>
    <t>ABC PRESIDENT</t>
  </si>
  <si>
    <t>EVER BRIGHT PT JT 23 OKT</t>
  </si>
  <si>
    <t>EVER BRIGHT PT JT 21OKT</t>
  </si>
  <si>
    <t>JAVAPRIMA ABADI PT - 30 HARI JT 20 OKT</t>
  </si>
  <si>
    <t>JAVAPRIMA ABADI PT - 30 HARI  JT 22 OKT</t>
  </si>
  <si>
    <t>JAVAPRIMA ABADI PT - 30 HARI JT 24 OKT</t>
  </si>
  <si>
    <t>MARKETAMA INDAH PT SELISIH HARGA GT MT AGT JT 19 OKT</t>
  </si>
  <si>
    <t>MULIA BOGA RAYA PT - FD 17 OKT</t>
  </si>
  <si>
    <t>MULIA BOGA RAYA PT - FD 18 OKT</t>
  </si>
  <si>
    <t>tgl 22</t>
  </si>
  <si>
    <t xml:space="preserve">target tgl 27 h bank mtx </t>
  </si>
  <si>
    <t>DBW CBD</t>
  </si>
  <si>
    <t>MULIA BOGA RAYA PT - FD 28 OKT</t>
  </si>
  <si>
    <t>MULIA BOGA RAYA PT - FD 20 OKT</t>
  </si>
  <si>
    <t>MULIA BOGA RAYA PT - FD 30 OKT</t>
  </si>
  <si>
    <t>MULIA BOGA RAYA PT - FD 23 OKT</t>
  </si>
  <si>
    <t>MULIA BOGA RAYA PT - FD 25 OKT</t>
  </si>
  <si>
    <t>ELLEAIR INT'L TRD INDONESIA PT 28 OKT</t>
  </si>
  <si>
    <t>ELLEAIR INT'L TRD INDONESIA PT 31 OKT</t>
  </si>
  <si>
    <t>MEKAR SUKSES PERKASA  penyelesaian</t>
  </si>
  <si>
    <t>MULIA BOGA RAYA PT FS 2 nov</t>
  </si>
  <si>
    <t>MULIA BOGA RAYA PT FS 4 nov</t>
  </si>
  <si>
    <t>ASFSA</t>
  </si>
  <si>
    <t>MARKETAMA INDAH PT SLS GT MT SEP JT 9 NOV</t>
  </si>
  <si>
    <t>MARKETAMA INDAH PT SLS GT MT SEP JT 10 NOV</t>
  </si>
  <si>
    <t>MARKETAMA INDAH PT SLS HARGA KANVAS SEP JT 10 NOV</t>
  </si>
  <si>
    <t>INTRAFOOD PT JT 4 NOV</t>
  </si>
  <si>
    <t>INTRAFOOD PT JT 5 NOV</t>
  </si>
  <si>
    <t>INTRAFOOD PT JT 6 NOV</t>
  </si>
  <si>
    <t>INTRAFOOD PT JT 7 NOV</t>
  </si>
  <si>
    <t>ELLEAIR INT'L TRD INDONESIA PT 13 NOV</t>
  </si>
  <si>
    <t>ELLEAIR INT'L TRD INDONESIA PT 14 NOV</t>
  </si>
  <si>
    <t>INTRAFOOD PT JT 11 NOV</t>
  </si>
  <si>
    <t>INTRAFOOD PT JT 12 NOV</t>
  </si>
  <si>
    <t>INTRAFOOD PT JT 13 NOV</t>
  </si>
  <si>
    <t>INTRAFOOD PT JT 14 NOV</t>
  </si>
  <si>
    <t>MULIA BOGA RAYA PT FS 13 nov</t>
  </si>
  <si>
    <t>PENYELESAIAN HUTANG PIUTANG SBG CRB</t>
  </si>
  <si>
    <t>INTRAFOOD PT JT 18 NOV</t>
  </si>
  <si>
    <t>INTRAFOOD PT JT 19 NOV</t>
  </si>
  <si>
    <t>PENYEELSAIAN SBG YK</t>
  </si>
  <si>
    <t>PENGELUARAN REAL</t>
  </si>
  <si>
    <t xml:space="preserve">ARNOTTS INDONESIA PT </t>
  </si>
  <si>
    <t>MTX DIFI NIAGA YIJG 3</t>
  </si>
  <si>
    <t>ELLEAIR INT'L TRD INDONESIA PT 22 NOV</t>
  </si>
  <si>
    <t>ELLEAIR INT'L TRD INDONESIA PT 25 NOV</t>
  </si>
  <si>
    <t>INTRAFOOD PT JT  22 NOV</t>
  </si>
  <si>
    <t>INTRAFOOD PT JT  25 NOV</t>
  </si>
  <si>
    <t>MTX DIFI NIAGA MIN - 3</t>
  </si>
  <si>
    <t>ED</t>
  </si>
  <si>
    <t>PENYELESAIAN SBG SMG</t>
  </si>
  <si>
    <t>INTRAFOOD PT JT  3 DES</t>
  </si>
  <si>
    <t>INTRAFOOD PT JT  4 DES</t>
  </si>
  <si>
    <t>INTRAFOOD PT JT  5 DES</t>
  </si>
  <si>
    <t>INTRAFOOD PT JT  9 DES</t>
  </si>
  <si>
    <t>MULIA BOGA RAYA PT - FD 29 OKT</t>
  </si>
  <si>
    <t>SUNGAI BUDI CIREBON</t>
  </si>
  <si>
    <t xml:space="preserve">SUNGAI BUDI SMG </t>
  </si>
  <si>
    <t xml:space="preserve">SUNGAI BUDI YK </t>
  </si>
  <si>
    <t>MULIA BOGA RAYA FD KURANG BARANG</t>
  </si>
  <si>
    <t>ELLEAIR INT'L TRD INDONESIA PT 5 DES</t>
  </si>
  <si>
    <t>ELLEAIR INT'L TRD INDONESIA PT 9 DES</t>
  </si>
  <si>
    <t>ELLEAIR INT'L TRD INDONESIA PT 12 DES</t>
  </si>
  <si>
    <t>ELLEAIR INT'L TRD INDONESIA PT 13 DES</t>
  </si>
  <si>
    <t xml:space="preserve">RENCANA PENGELUARAN OPR </t>
  </si>
  <si>
    <t>PT SAS INDO</t>
  </si>
  <si>
    <t>SEWA GUDANG SMG</t>
  </si>
  <si>
    <t xml:space="preserve">NGADIMUN </t>
  </si>
  <si>
    <t>SEWA GUDANG SOLO</t>
  </si>
  <si>
    <t>SEWA GUDANG YK</t>
  </si>
  <si>
    <t>2 BAN BARU BLORA</t>
  </si>
  <si>
    <t xml:space="preserve">HIPERLINK </t>
  </si>
  <si>
    <t>STIKER MOBIL</t>
  </si>
  <si>
    <t>CETAKAN NOV</t>
  </si>
  <si>
    <t>INDOJAYA PAPER</t>
  </si>
  <si>
    <t>CF DEPAPER</t>
  </si>
  <si>
    <t>KERTAS A4</t>
  </si>
  <si>
    <t>TUJUAN</t>
  </si>
  <si>
    <t xml:space="preserve">KETERANGAN </t>
  </si>
  <si>
    <t>NOMINAL</t>
  </si>
  <si>
    <t>jumlah</t>
  </si>
  <si>
    <t>JAVAPRIMA ABADI PT 21 HR</t>
  </si>
  <si>
    <t>cilacap</t>
  </si>
  <si>
    <t>pkl</t>
  </si>
  <si>
    <t xml:space="preserve">blr </t>
  </si>
  <si>
    <t xml:space="preserve">kbm </t>
  </si>
  <si>
    <t>yk</t>
  </si>
  <si>
    <t>slt</t>
  </si>
  <si>
    <t xml:space="preserve">tgl </t>
  </si>
  <si>
    <t>pat</t>
  </si>
  <si>
    <t>sol</t>
  </si>
  <si>
    <t>mgl</t>
  </si>
  <si>
    <t>pwt</t>
  </si>
  <si>
    <t>masuk ke HO</t>
  </si>
  <si>
    <t>MBR Q3</t>
  </si>
  <si>
    <t>MULIA BOGA RAYA PT FS 16 des</t>
  </si>
  <si>
    <t>KAS KECIL HO</t>
  </si>
  <si>
    <t>MSS BLORA</t>
  </si>
  <si>
    <t>MSS MGL</t>
  </si>
  <si>
    <t>MSS PAT</t>
  </si>
  <si>
    <t>MSS PKL</t>
  </si>
  <si>
    <t>MSS PWT</t>
  </si>
  <si>
    <t>MSS SLT</t>
  </si>
  <si>
    <t>MSS SMG</t>
  </si>
  <si>
    <t>MSS SOL</t>
  </si>
  <si>
    <t xml:space="preserve">MSS TGL </t>
  </si>
  <si>
    <t>MSS YK</t>
  </si>
  <si>
    <t>PENGELUARAN OPR TGL 29-12-2021</t>
  </si>
  <si>
    <t>MSS SOLO</t>
  </si>
  <si>
    <t>PENGELUARAN OPR TGL 30-12-2021</t>
  </si>
  <si>
    <t>BANK GARANSI</t>
  </si>
  <si>
    <t>xxxxxx</t>
  </si>
  <si>
    <t>XXXX</t>
  </si>
  <si>
    <t xml:space="preserve">ELLEAIR INT'L TRD INDONESIA </t>
  </si>
  <si>
    <t xml:space="preserve">ARNOTTS INDONESIA </t>
  </si>
  <si>
    <t xml:space="preserve">PENGELUARAN OPR </t>
  </si>
  <si>
    <t>TGL 04-01-2022</t>
  </si>
  <si>
    <t>RENTOKIL BLORA SEP '21</t>
  </si>
  <si>
    <t>RENTOKIL PAT, PKL SEP '21</t>
  </si>
  <si>
    <t>RENTOKIL SLT AGT-SEP '21</t>
  </si>
  <si>
    <t>RENTOKIL SMG AGT-SEP '21</t>
  </si>
  <si>
    <t>RENTOKIL SOL AGT-SEP '21</t>
  </si>
  <si>
    <t>RENTOKIL TEGAL AGT-SEP '21</t>
  </si>
  <si>
    <t>ATK PANTIRA DES '21</t>
  </si>
  <si>
    <t>ATK PANSEL+HO DES '21</t>
  </si>
  <si>
    <t xml:space="preserve">BENGKEL TEGAL </t>
  </si>
  <si>
    <t>AGB CBD</t>
  </si>
  <si>
    <t>MULIA BOGA RAYA FS</t>
  </si>
  <si>
    <t>PENYELESAIAN MJB</t>
  </si>
  <si>
    <t>JPA</t>
  </si>
  <si>
    <t>FBI</t>
  </si>
  <si>
    <t>MBR</t>
  </si>
  <si>
    <t>RDSI</t>
  </si>
  <si>
    <t>ISI</t>
  </si>
  <si>
    <t xml:space="preserve">BUNGA </t>
  </si>
  <si>
    <t xml:space="preserve">TGL PINJAM </t>
  </si>
  <si>
    <t>PRINCIPLE</t>
  </si>
  <si>
    <t>JT</t>
  </si>
  <si>
    <t>TGL 05-01-2022</t>
  </si>
  <si>
    <t>DIPO STAR 799</t>
  </si>
  <si>
    <t>DIPO STAR 800</t>
  </si>
  <si>
    <t>DIPO STAR 801</t>
  </si>
  <si>
    <t>TGL 06-01-2022</t>
  </si>
  <si>
    <t>FAUJI / 11 TAB</t>
  </si>
  <si>
    <t xml:space="preserve">MATERAI </t>
  </si>
  <si>
    <t>AKI, PENGAMAN SLT</t>
  </si>
  <si>
    <t>PROGRAM FBI SOLO</t>
  </si>
  <si>
    <t>PROGRAM JPA TEGAL</t>
  </si>
  <si>
    <t xml:space="preserve">SERVICE YK </t>
  </si>
  <si>
    <t>TGL 07-01-2022</t>
  </si>
  <si>
    <t xml:space="preserve">GAJI PWT </t>
  </si>
  <si>
    <t xml:space="preserve">GAJI SMG </t>
  </si>
  <si>
    <t>GAJI SOL</t>
  </si>
  <si>
    <t>GAJI TEGAL</t>
  </si>
  <si>
    <t xml:space="preserve">GAJI YK </t>
  </si>
  <si>
    <t xml:space="preserve">FC HO </t>
  </si>
  <si>
    <t xml:space="preserve">FC MGL </t>
  </si>
  <si>
    <t xml:space="preserve">VULKANISIR DAFFA </t>
  </si>
  <si>
    <t>BAN BARU SUMBERHARPINDO</t>
  </si>
  <si>
    <t>PROGRAM PATI</t>
  </si>
  <si>
    <t>PROGRAM SMG</t>
  </si>
  <si>
    <t xml:space="preserve">ABC PRESIDENT </t>
  </si>
  <si>
    <t>INTRAFOOD JT 23 DES</t>
  </si>
  <si>
    <t>MULIA BOGA RAYA FDJT 29 DES</t>
  </si>
  <si>
    <t xml:space="preserve">INTRAFOOD JT </t>
  </si>
  <si>
    <t>PK AN HARRY A SPV</t>
  </si>
  <si>
    <t>FC MGL DES</t>
  </si>
  <si>
    <t>JNT HO DES</t>
  </si>
  <si>
    <t>13 BANVULKANISIR DAFFA</t>
  </si>
  <si>
    <t>PENGELUARAN OPR TGL 20-01-2022</t>
  </si>
  <si>
    <t>MTX DIFI NIAGA MIN - 4</t>
  </si>
  <si>
    <t>ELLEAIR INT'L TRD INDONESIA JT 13 JAN</t>
  </si>
  <si>
    <t>ELLEAIR INT'L TRD INDONESIA JT 31 JAN</t>
  </si>
  <si>
    <t>PANGAN MULIA UTAMA JT 9, 11, 12 MEI</t>
  </si>
  <si>
    <t xml:space="preserve">BUNGA DIFI MIN </t>
  </si>
  <si>
    <t>ABC PRESIDENT cbd</t>
  </si>
  <si>
    <t xml:space="preserve">bca tujuan coretan wajib diberi ttd </t>
  </si>
  <si>
    <t xml:space="preserve">bca pwt &amp; mgl mengharuskan ttd utk bagian yg dicoret </t>
  </si>
  <si>
    <t xml:space="preserve">mohon revisi penambhaN TTD UTK MGL, PWT </t>
  </si>
  <si>
    <t>VANIA</t>
  </si>
  <si>
    <t>TGL 10-01-2022</t>
  </si>
  <si>
    <t>PENGELUARAN OPR TGL 10-02-2022</t>
  </si>
  <si>
    <t xml:space="preserve">BPJS KESEHATAN </t>
  </si>
  <si>
    <t>BPJS KESEHATAN HO</t>
  </si>
  <si>
    <t>BPJS KESEHATAN YK</t>
  </si>
  <si>
    <t>KAS NEGARA</t>
  </si>
  <si>
    <t>PPH 21</t>
  </si>
  <si>
    <t>PPH 25</t>
  </si>
  <si>
    <t>SULISTIYATI</t>
  </si>
  <si>
    <t>KB STNK</t>
  </si>
  <si>
    <t xml:space="preserve">DIANA N </t>
  </si>
  <si>
    <t>HOTEL INDAH PALACE</t>
  </si>
  <si>
    <t xml:space="preserve">YUNI PRASTINJO </t>
  </si>
  <si>
    <t xml:space="preserve">PK SPV </t>
  </si>
  <si>
    <t xml:space="preserve">MSS MGL </t>
  </si>
  <si>
    <t xml:space="preserve">PROGRAM </t>
  </si>
  <si>
    <t xml:space="preserve">MSS YK </t>
  </si>
  <si>
    <t xml:space="preserve">JUMLAH </t>
  </si>
  <si>
    <t>PENGELUARAN OPR TGL 11-02-2022</t>
  </si>
  <si>
    <t>KARYAWAN HO</t>
  </si>
  <si>
    <t>TUNJANGAN LK</t>
  </si>
  <si>
    <t>ABC PRESIDENT JT 10 JAN - 27 JAN</t>
  </si>
  <si>
    <t>ABC PRESIDENT JT 7 FEB</t>
  </si>
  <si>
    <t>ELLEAIR INT'L TRD INDONESIA JT 10 FEB</t>
  </si>
  <si>
    <t>ELLEAIR INT'L TRD INDONESIA JT 18 FEB</t>
  </si>
  <si>
    <t>ELLEAIR INT'L TRD INDONESIA JT 21 FEB</t>
  </si>
  <si>
    <t>ELLEAIR INT'L TRD INDONESIA JT 24 FEB</t>
  </si>
  <si>
    <t>ELLEAIR INT'L TRD INDONESIA JT 26 FEB</t>
  </si>
  <si>
    <t>MULIA BOGA RAYA FDJT 23 FEB</t>
  </si>
  <si>
    <t>MULIA BOGA RAYA FDJT 24 FEB</t>
  </si>
  <si>
    <t>MEDHISHOP JT 16 MEI</t>
  </si>
  <si>
    <t>AGB CBD NABUNG</t>
  </si>
  <si>
    <t>DBW CBD NABUNG</t>
  </si>
  <si>
    <t xml:space="preserve">DBW CBD </t>
  </si>
  <si>
    <t>PENGELUARAN OPR TGL 24-02-2022</t>
  </si>
  <si>
    <t>PROGRAM MNP</t>
  </si>
  <si>
    <t>MSS BLR</t>
  </si>
  <si>
    <t>SERVICE</t>
  </si>
  <si>
    <t>PROGRAM JPA</t>
  </si>
  <si>
    <t xml:space="preserve">CV SURYA </t>
  </si>
  <si>
    <t xml:space="preserve">FC MGL JAN </t>
  </si>
  <si>
    <t>METAFORA</t>
  </si>
  <si>
    <t>PSIKOTES CILA, KBM</t>
  </si>
  <si>
    <t>ANG KE 30</t>
  </si>
  <si>
    <t>DIPO STAR  11 UNT</t>
  </si>
  <si>
    <t>DIPO STAR  8 UNT</t>
  </si>
  <si>
    <t>DIPO STAR  3 UNT</t>
  </si>
  <si>
    <t xml:space="preserve">SALDO OPR PER 23 FEB </t>
  </si>
  <si>
    <t>MSS PATI</t>
  </si>
  <si>
    <t>HAND PALLET</t>
  </si>
  <si>
    <t>JT 7 MAR - 13 MAR</t>
  </si>
  <si>
    <t>HSBC</t>
  </si>
  <si>
    <t>OCBC</t>
  </si>
  <si>
    <t>DIFI YIJG</t>
  </si>
  <si>
    <t>DIFI MIN</t>
  </si>
  <si>
    <t>ELLEAIR INT'L TRD INDONESIA JT 01 MAR</t>
  </si>
  <si>
    <t>NABUNG MF</t>
  </si>
  <si>
    <t>TGL 18/03/2022</t>
  </si>
  <si>
    <t xml:space="preserve">FLORIST </t>
  </si>
  <si>
    <t>KARANGAN BUNGA DBW</t>
  </si>
  <si>
    <t xml:space="preserve">BENGKEL AGUNG JAYA </t>
  </si>
  <si>
    <t xml:space="preserve">SERVICE TEGAL </t>
  </si>
  <si>
    <t xml:space="preserve">LISTRIK MSS SMG MAR </t>
  </si>
  <si>
    <t>PT POS</t>
  </si>
  <si>
    <t xml:space="preserve">LISTRIK MSS YK MAR </t>
  </si>
  <si>
    <t xml:space="preserve">FAUJI </t>
  </si>
  <si>
    <t>TAB, MESIN ABSENSI, PRINTER</t>
  </si>
  <si>
    <t>LAIN LAIN</t>
  </si>
  <si>
    <t>RASAKITA ADHIKARI UTAMAPRCPT</t>
  </si>
  <si>
    <t>ABC PRESIDENT I</t>
  </si>
  <si>
    <t>SPJ</t>
  </si>
  <si>
    <t>ABC PRESIDENT JT 10 JAN - 27 JAN- 7 FEB</t>
  </si>
  <si>
    <t>MULIA BOGA RAYA FD</t>
  </si>
  <si>
    <t>PENGELUARAN OPR TGL 13-04-2022</t>
  </si>
  <si>
    <t>CV BINA PRESTASI</t>
  </si>
  <si>
    <t>KURSI&amp;FIL KABINET</t>
  </si>
  <si>
    <t xml:space="preserve">CETAKAN </t>
  </si>
  <si>
    <t>SINAR BAKTI</t>
  </si>
  <si>
    <t xml:space="preserve">ATK </t>
  </si>
  <si>
    <t>KJ HOTEL</t>
  </si>
  <si>
    <t>DP BUBER</t>
  </si>
  <si>
    <t>PENGELUARAN OPR TGL 14-04-2022</t>
  </si>
  <si>
    <t>BURZA HOTEL</t>
  </si>
  <si>
    <t xml:space="preserve">BUBER </t>
  </si>
  <si>
    <t>GAJI</t>
  </si>
  <si>
    <t>SERVICE MOBIL &amp; SOFA</t>
  </si>
  <si>
    <t>MAC JT 15 APR</t>
  </si>
  <si>
    <t>MAC JT 16 APR</t>
  </si>
  <si>
    <t>MASE</t>
  </si>
  <si>
    <t>MAC JT 20 APR</t>
  </si>
  <si>
    <t>MAC JT 21 APR</t>
  </si>
  <si>
    <t>MAC JT 15 APR - 21 APR (-DISKON&amp;SLS HRG)</t>
  </si>
  <si>
    <t>ELLEAIR INT'L TRD INDONESIA JT 21 APR</t>
  </si>
  <si>
    <t>PENGELUARAN OPR TGL 21-04-2022</t>
  </si>
  <si>
    <t xml:space="preserve">YONO S </t>
  </si>
  <si>
    <t>SERVICE H 8693 NY</t>
  </si>
  <si>
    <t>SSD, HARDCASE MGL &amp; LED, HARDISK, RAM, MOUSE, KEYBOARD SOL</t>
  </si>
  <si>
    <t>MAC</t>
  </si>
  <si>
    <t>JUMIYATI</t>
  </si>
  <si>
    <t>PELUNASAN BOX SECOND SLT</t>
  </si>
  <si>
    <t xml:space="preserve">SAS INDO </t>
  </si>
  <si>
    <t>MJP</t>
  </si>
  <si>
    <t>MAS</t>
  </si>
  <si>
    <t xml:space="preserve">MATAHARI JAYA BERSAMA </t>
  </si>
  <si>
    <t>RASAKITA ADHIKARI UTAMA PRCPT</t>
  </si>
  <si>
    <t>ppn</t>
  </si>
  <si>
    <t>pph</t>
  </si>
  <si>
    <t>bca opr</t>
  </si>
  <si>
    <t>SISA/(KURANG)</t>
  </si>
  <si>
    <t>SPJ JT 8 MEI</t>
  </si>
  <si>
    <t>SPJ JT 11 MEI</t>
  </si>
  <si>
    <t>SPJ JT 23 MEI</t>
  </si>
  <si>
    <t xml:space="preserve">KURANG BAYAR INV JPA </t>
  </si>
  <si>
    <t xml:space="preserve">NO INVOICE </t>
  </si>
  <si>
    <t xml:space="preserve">TGL BAYAR RO </t>
  </si>
  <si>
    <t>NOMINAL AKHIR (BENAR)</t>
  </si>
  <si>
    <t>KURANG BAYAR INVOICE JPA KRN PERBEDAAN DISKON (SISTEM ERROR)</t>
  </si>
  <si>
    <t>NOMINAL AWAL (SALAH)</t>
  </si>
  <si>
    <t>SELISIH (KB)</t>
  </si>
  <si>
    <t>NO</t>
  </si>
  <si>
    <t>saldo per 23 mei</t>
  </si>
  <si>
    <t>pengeluaran 24-27 mei</t>
  </si>
  <si>
    <t>ABC PRESIDENT JT 12 JAN - 7 FEB</t>
  </si>
  <si>
    <t xml:space="preserve">CITRA FOOD ABADI </t>
  </si>
  <si>
    <t>NABUNG BBM GDG</t>
  </si>
  <si>
    <t>MAC 11 JUN</t>
  </si>
  <si>
    <t>SPJ 25-28 MEI</t>
  </si>
  <si>
    <t>SPJ 3-11 JUN</t>
  </si>
  <si>
    <t>SPJ 13 JUN</t>
  </si>
  <si>
    <t>NO INV 156 DAN 229</t>
  </si>
  <si>
    <t xml:space="preserve">SENIN </t>
  </si>
  <si>
    <t>TGL 17 MAS NO 0230</t>
  </si>
  <si>
    <t>W</t>
  </si>
  <si>
    <t>ABDA</t>
  </si>
  <si>
    <t>PELUNASAN 70% FIL KABINET SOLO</t>
  </si>
  <si>
    <t>PELUNASAN 70% LEMARI ADM PAJAK &amp; CA HO</t>
  </si>
  <si>
    <t>CV SURYA CIPTA MEDIA</t>
  </si>
  <si>
    <t>FC MSS MGL MARET</t>
  </si>
  <si>
    <t>TGL 16/06/2022</t>
  </si>
  <si>
    <t>MAS 27 MEI -27 JUNI</t>
  </si>
  <si>
    <t>PENGELUARAN OPR TGL 23-06-2022</t>
  </si>
  <si>
    <t xml:space="preserve">SERVICE </t>
  </si>
  <si>
    <t>MSS KBM</t>
  </si>
  <si>
    <t>KIR</t>
  </si>
  <si>
    <t>PROGRAM AI</t>
  </si>
  <si>
    <t>LEMBUR</t>
  </si>
  <si>
    <t>SISA GAJI</t>
  </si>
  <si>
    <t>MF</t>
  </si>
  <si>
    <t>PERPANJANGAN STNK JULI 2022</t>
  </si>
  <si>
    <t>SERVICE H 9106 HQ</t>
  </si>
  <si>
    <t>SUMBANGAN DUKA CITA</t>
  </si>
  <si>
    <t xml:space="preserve">GAJI CS </t>
  </si>
  <si>
    <t>GAJI SLM</t>
  </si>
  <si>
    <t>YANG TAK AMBIL RI R P RANDO</t>
  </si>
  <si>
    <t xml:space="preserve">MAC </t>
  </si>
  <si>
    <t>ABC PI</t>
  </si>
  <si>
    <t>MAC 06 JUL - 18 JUL</t>
  </si>
  <si>
    <t>MAS 8 JULI - 29 JULI</t>
  </si>
  <si>
    <t>MAS 29 JULI - 19 AGT</t>
  </si>
  <si>
    <t>ASURANSI</t>
  </si>
  <si>
    <t>PENGELUARAN OPR TGL 11-08-2022</t>
  </si>
  <si>
    <t xml:space="preserve">LEMBUR </t>
  </si>
  <si>
    <t>PROGRAM</t>
  </si>
  <si>
    <t>FAUJI</t>
  </si>
  <si>
    <t xml:space="preserve">BELI UTK SP WSB </t>
  </si>
  <si>
    <t xml:space="preserve">yuni - nina </t>
  </si>
  <si>
    <t xml:space="preserve">ttp harus ttd cabang pembuat </t>
  </si>
  <si>
    <t>CFA</t>
  </si>
  <si>
    <t>SEWA GDG PKL</t>
  </si>
  <si>
    <t xml:space="preserve">26 ABIS </t>
  </si>
  <si>
    <t>SEWA GDG SLT</t>
  </si>
  <si>
    <t>303 JT BAYAR</t>
  </si>
  <si>
    <t xml:space="preserve">SEWA 2 TH </t>
  </si>
  <si>
    <t xml:space="preserve">AKHIR AGT 300 JT+PPN-PPH </t>
  </si>
  <si>
    <t>PENGELUARAN OPR TGL 18-04-2022</t>
  </si>
  <si>
    <t>PENGELUARAN OPR TGL 18/08/2022</t>
  </si>
  <si>
    <t>HAND PALLET, SERVICE, KIR, TUNJANGAN</t>
  </si>
  <si>
    <t>GAJI, LEMBUR</t>
  </si>
  <si>
    <t>MSS CILA</t>
  </si>
  <si>
    <t>SERVICE, LEMBUR, PROGRAM</t>
  </si>
  <si>
    <t>INTERNET SMG</t>
  </si>
  <si>
    <t xml:space="preserve">PT DATA UTAMA </t>
  </si>
  <si>
    <t>PK, LEMBUR</t>
  </si>
  <si>
    <t>DELA</t>
  </si>
  <si>
    <t>UM P AGUNG</t>
  </si>
  <si>
    <t>VIA FAX</t>
  </si>
  <si>
    <t xml:space="preserve">PASS : YG STANDART </t>
  </si>
  <si>
    <t xml:space="preserve">CEK REK PATI </t>
  </si>
  <si>
    <t>ELLEAIR INT'L TRD INDONESIA k</t>
  </si>
  <si>
    <t>TGL 08/09/2022</t>
  </si>
  <si>
    <t xml:space="preserve">TUNJANGAN BR, SPV, ADM PWD </t>
  </si>
  <si>
    <t>KIR 5 BOX</t>
  </si>
  <si>
    <t>AC</t>
  </si>
  <si>
    <t>CV BINA CIPTA ABADI</t>
  </si>
  <si>
    <t>APAR</t>
  </si>
  <si>
    <t>MAS 45 hr</t>
  </si>
  <si>
    <t>MAS 30 HR</t>
  </si>
  <si>
    <t>BPJS KESEHATAN HO SEP</t>
  </si>
  <si>
    <t>BPJS KESEHATAN YK SEP</t>
  </si>
  <si>
    <t xml:space="preserve">PPH 21 AGT </t>
  </si>
  <si>
    <t>PPH 23 AGT</t>
  </si>
  <si>
    <t>PPH 25 AGT</t>
  </si>
  <si>
    <t>TUNJANGAN AGT</t>
  </si>
  <si>
    <t>PINJAMAN KARYAWAN</t>
  </si>
  <si>
    <t>INTRAFOOD 45 HR</t>
  </si>
  <si>
    <t>KBBMSSEKAT</t>
  </si>
  <si>
    <t>MITRASHT008</t>
  </si>
  <si>
    <t>ibsmisehta</t>
  </si>
  <si>
    <t>MSSSLT002</t>
  </si>
  <si>
    <t>KBBSEKATAS</t>
  </si>
  <si>
    <t>MITRASHT007</t>
  </si>
  <si>
    <t>KBBMITR221</t>
  </si>
  <si>
    <t>MSSSOLO02</t>
  </si>
  <si>
    <t>IBSMITSES3</t>
  </si>
  <si>
    <t>MSSPATI02</t>
  </si>
  <si>
    <t>IBSMISEHSE</t>
  </si>
  <si>
    <t>MSSPWT002</t>
  </si>
  <si>
    <t>IBSTRASEHA</t>
  </si>
  <si>
    <t>DIBAYAR</t>
  </si>
  <si>
    <t>MARTABAK</t>
  </si>
  <si>
    <t>MAKAN NILA</t>
  </si>
  <si>
    <t>MAKAN AYAM</t>
  </si>
  <si>
    <t>PENGELUARAN OPR TGL 26-06-2022</t>
  </si>
  <si>
    <t>BUNGA PELUNASAN/ULANG BULAN HSBC</t>
  </si>
  <si>
    <t>JAVAPRIMA ABADI PT 5 HR</t>
  </si>
  <si>
    <t xml:space="preserve">DELA </t>
  </si>
  <si>
    <t xml:space="preserve">BY BUKA REK OCBC </t>
  </si>
  <si>
    <t>BO, INC</t>
  </si>
  <si>
    <t>BO, INC, SERVICE</t>
  </si>
  <si>
    <t>BO, INC, KURSI</t>
  </si>
  <si>
    <t>BO, INC, SUMBANGAN, GAJI</t>
  </si>
  <si>
    <t>BO, INC, GAJI</t>
  </si>
  <si>
    <t xml:space="preserve">MSS BLR </t>
  </si>
  <si>
    <t>BO, INC, INTERNET, GAJI</t>
  </si>
  <si>
    <t xml:space="preserve">KAS NEGARA </t>
  </si>
  <si>
    <t>PPN AGT</t>
  </si>
  <si>
    <t>RIANDO</t>
  </si>
  <si>
    <t>RENOV</t>
  </si>
  <si>
    <t>PENGELUARAN OPR TGL 27-06-2022</t>
  </si>
  <si>
    <t>RINAWATI</t>
  </si>
  <si>
    <t>KB GAJI CB</t>
  </si>
  <si>
    <t>PRINTER, PROJECTOR, HP, SSD, UPS</t>
  </si>
  <si>
    <t>KB KONSUMSI MEETING</t>
  </si>
  <si>
    <t xml:space="preserve">PT UDM </t>
  </si>
  <si>
    <t>FC PATI AGT</t>
  </si>
  <si>
    <t>PT SUMBERHARPINDO</t>
  </si>
  <si>
    <t>BAN ORI 2 UNT SLT</t>
  </si>
  <si>
    <t xml:space="preserve">DAFFA </t>
  </si>
  <si>
    <t>VULKANISIR 10 UNT</t>
  </si>
  <si>
    <t>HIPERLINK</t>
  </si>
  <si>
    <t>CETAKAN AGT</t>
  </si>
  <si>
    <t>PITA PRINTER &amp; LAKBAN</t>
  </si>
  <si>
    <t>ATK SEP</t>
  </si>
  <si>
    <t>PENGELUARAN OPR TGL 28-06-2022</t>
  </si>
  <si>
    <t>AGUNG P</t>
  </si>
  <si>
    <t xml:space="preserve">UANG SAKU KE LN </t>
  </si>
  <si>
    <t>BPJS KETENAGAKERJAAN</t>
  </si>
  <si>
    <t>PT BARUNA ABDI TEGAL</t>
  </si>
  <si>
    <t xml:space="preserve">PBB TEGAL </t>
  </si>
  <si>
    <t>PENGELUARAN OPR TGL 29-06-2022</t>
  </si>
  <si>
    <t>MSS TGL</t>
  </si>
  <si>
    <t>INC, GAJI</t>
  </si>
  <si>
    <t xml:space="preserve">INC, GAJI, SERVICE </t>
  </si>
  <si>
    <t>INC, GAJI, PK</t>
  </si>
  <si>
    <t xml:space="preserve">INC, GAJI, PK, SERVICE </t>
  </si>
  <si>
    <t>INC, GAJI, BAN</t>
  </si>
  <si>
    <t>INC, GAJI, KOPERASI, UP</t>
  </si>
  <si>
    <t>INC FOYU BOS</t>
  </si>
  <si>
    <t>COLL</t>
  </si>
  <si>
    <t>BG</t>
  </si>
  <si>
    <t>OPR</t>
  </si>
  <si>
    <t>TGL 05/10/2022</t>
  </si>
  <si>
    <t>ANG KE 13</t>
  </si>
  <si>
    <t>CV ALVINDO</t>
  </si>
  <si>
    <t>2 BAN BARU HOC</t>
  </si>
  <si>
    <t>KB RENOV</t>
  </si>
  <si>
    <t>3 BAN KBM, 4 BAN SOL</t>
  </si>
  <si>
    <t>SUTRIYONO</t>
  </si>
  <si>
    <t xml:space="preserve">SEWA TRUK SMG </t>
  </si>
  <si>
    <t>SISA SALDO</t>
  </si>
  <si>
    <t>TGL 06/10/2022</t>
  </si>
  <si>
    <t>EMMANUEL</t>
  </si>
  <si>
    <t xml:space="preserve">PINJAMAN </t>
  </si>
  <si>
    <t>INC</t>
  </si>
  <si>
    <t>CILA</t>
  </si>
  <si>
    <t>KBM</t>
  </si>
  <si>
    <t>MGL</t>
  </si>
  <si>
    <t>PAT</t>
  </si>
  <si>
    <t>PKL</t>
  </si>
  <si>
    <t>PWT</t>
  </si>
  <si>
    <t>SLT</t>
  </si>
  <si>
    <t>INC, COVER JOK</t>
  </si>
  <si>
    <t>SMG</t>
  </si>
  <si>
    <t>INC, PK, GAJI</t>
  </si>
  <si>
    <t>SOL</t>
  </si>
  <si>
    <t>INC, SEWA, PROGRAM</t>
  </si>
  <si>
    <t>INC, PROG, GAJI</t>
  </si>
  <si>
    <t>YK</t>
  </si>
  <si>
    <t>INC, PROGRAM</t>
  </si>
  <si>
    <t>STNK, RENOV, MEJA</t>
  </si>
  <si>
    <t>LAKSITA</t>
  </si>
  <si>
    <t>PSIKOTES MGL, YK</t>
  </si>
  <si>
    <t>QQ NUANSA</t>
  </si>
  <si>
    <t>PSIKOTES PKL</t>
  </si>
  <si>
    <t xml:space="preserve">CV PARAMA </t>
  </si>
  <si>
    <t>PT UDM</t>
  </si>
  <si>
    <t xml:space="preserve">FC PWT </t>
  </si>
  <si>
    <t>SINAR BERLIAN</t>
  </si>
  <si>
    <t>VULKANSIIR</t>
  </si>
  <si>
    <t>ASEP</t>
  </si>
  <si>
    <t>UANG MUKA KE LK</t>
  </si>
  <si>
    <t>TGL 07/10/2022</t>
  </si>
  <si>
    <t>BO</t>
  </si>
  <si>
    <t>MSS CIL</t>
  </si>
  <si>
    <t xml:space="preserve">MSS KBM </t>
  </si>
  <si>
    <t xml:space="preserve">BO, PINJAMAN </t>
  </si>
  <si>
    <t>TUNJANGAN</t>
  </si>
  <si>
    <t>BPJS KESEHATAN</t>
  </si>
  <si>
    <t xml:space="preserve">BPJS KESEHATAN MSS YK </t>
  </si>
  <si>
    <t>BPJS KESEHATAN MSS HO</t>
  </si>
  <si>
    <t>PPH 23</t>
  </si>
  <si>
    <t>KAS KECIL</t>
  </si>
  <si>
    <t>TGL 10/10/2022</t>
  </si>
  <si>
    <t xml:space="preserve">sewa pwt </t>
  </si>
  <si>
    <t>sewa slt</t>
  </si>
  <si>
    <t xml:space="preserve">perpanjang </t>
  </si>
  <si>
    <t>baru</t>
  </si>
  <si>
    <t xml:space="preserve">sewa slt </t>
  </si>
  <si>
    <t>gratifikasi 2021</t>
  </si>
  <si>
    <t>GDG MTX</t>
  </si>
  <si>
    <t>ARINA TOP 1 - JT 23 ?</t>
  </si>
  <si>
    <t>TGL 11/10/2022</t>
  </si>
  <si>
    <t xml:space="preserve">JNE </t>
  </si>
  <si>
    <t>PT TIKI</t>
  </si>
  <si>
    <t xml:space="preserve">UM PC </t>
  </si>
  <si>
    <t>JATUH TEMPO</t>
  </si>
  <si>
    <t>PK, PLAFON, GAJI</t>
  </si>
  <si>
    <t>PK, PROGRAM</t>
  </si>
  <si>
    <t>AKI, AC, SUKA CITA, JPA</t>
  </si>
  <si>
    <t>UP, APAR, SUKA CITA, FBI</t>
  </si>
  <si>
    <t>PK, GAJI</t>
  </si>
  <si>
    <t>GAJI, FBI</t>
  </si>
  <si>
    <t>PT DATA</t>
  </si>
  <si>
    <t>PABX</t>
  </si>
  <si>
    <t xml:space="preserve">PRINTER, TAB, </t>
  </si>
  <si>
    <t>TGL 13/10/2022</t>
  </si>
  <si>
    <t>MTX HBSC JT 12 OKT-19 OKT</t>
  </si>
  <si>
    <t>MTX HBSC JT 21 OKT - 30 OKT</t>
  </si>
  <si>
    <t>YUPI INDO JELLY GUM JT 18 OKT-23 OKT</t>
  </si>
  <si>
    <t>s</t>
  </si>
  <si>
    <t>JT INV</t>
  </si>
  <si>
    <t>MNP</t>
  </si>
  <si>
    <t>AI</t>
  </si>
  <si>
    <t>TGL 14/10/2022</t>
  </si>
  <si>
    <t>SHOPEE</t>
  </si>
  <si>
    <t>MAN SERVICE MEI JUN</t>
  </si>
  <si>
    <t>TGL 17/10/2022</t>
  </si>
  <si>
    <t>BO, PROGRAM</t>
  </si>
  <si>
    <t xml:space="preserve">BO, INC </t>
  </si>
  <si>
    <t>BO, INC, PROGRAM</t>
  </si>
  <si>
    <t>BO, LAMPU, SEWA</t>
  </si>
  <si>
    <t>BO, INC, SEWA, PROGRAM</t>
  </si>
  <si>
    <t>LISTRIK YK</t>
  </si>
  <si>
    <t>JNT HO</t>
  </si>
  <si>
    <t>FC SMG</t>
  </si>
  <si>
    <t>LISTRIK SMG</t>
  </si>
  <si>
    <t>IPL SMG</t>
  </si>
  <si>
    <t>INTERNET HO</t>
  </si>
  <si>
    <t>CETAKAN</t>
  </si>
  <si>
    <t>FC YK</t>
  </si>
  <si>
    <t>KK</t>
  </si>
  <si>
    <t>BO, INC, PROGRAM, SERVICE, UP</t>
  </si>
  <si>
    <t>KKHO</t>
  </si>
  <si>
    <t>TGL 18/10/2022</t>
  </si>
  <si>
    <t>JEMBATAN</t>
  </si>
  <si>
    <t>EKO S</t>
  </si>
  <si>
    <t>BENGKEL 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</si>
</sst>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mmm\-yyyy"/>
    <numFmt numFmtId="167" formatCode="_ * #,##0_ ;_ * \-#,##0_ ;_ * &quot;-&quot;??_ ;_ @_ "/>
    <numFmt numFmtId="168" formatCode="_(* #,##0_);_(* \(#,##0\);_(* &quot;-&quot;??_);_(@_)"/>
    <numFmt numFmtId="169" formatCode="_ * #,##0.00_ ;_ * \-#,##0.00_ ;_ * &quot;-&quot;??_ ;_ @_ "/>
    <numFmt numFmtId="170" formatCode="[$-409]d\-mmm\-yy;@"/>
    <numFmt numFmtId="171" formatCode="[$-409]d\-mmm;@"/>
    <numFmt numFmtId="172" formatCode="#,##0\ ;&quot; (&quot;#,##0\);&quot; - &quot;;@\ "/>
    <numFmt numFmtId="173" formatCode="#,##0.00\ ;&quot; (&quot;#,##0.00\);&quot; -&quot;#\ ;@\ 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u val="singleAccounting"/>
      <sz val="10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b/>
      <i/>
      <u val="singleAccounting"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</font>
    <font>
      <sz val="12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charset val="134"/>
      <scheme val="minor"/>
    </font>
    <font>
      <sz val="10"/>
      <color rgb="FF000000"/>
      <name val="MS Sans Serif"/>
      <family val="2"/>
    </font>
    <font>
      <sz val="1"/>
      <color rgb="FFFF0000"/>
      <name val="Arial"/>
      <family val="2"/>
    </font>
    <font>
      <sz val="1"/>
      <color indexed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96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6" fillId="0" borderId="0"/>
    <xf numFmtId="41" fontId="2" fillId="0" borderId="0" applyFont="0" applyFill="0" applyBorder="0" applyAlignment="0" applyProtection="0"/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8" fillId="0" borderId="0"/>
    <xf numFmtId="41" fontId="15" fillId="0" borderId="0" applyFont="0" applyFill="0" applyBorder="0" applyAlignment="0" applyProtection="0"/>
    <xf numFmtId="0" fontId="2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20" fillId="0" borderId="0"/>
    <xf numFmtId="0" fontId="20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2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5" fillId="0" borderId="0"/>
    <xf numFmtId="16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>
      <alignment vertical="center"/>
    </xf>
    <xf numFmtId="169" fontId="2" fillId="0" borderId="0" applyFont="0" applyFill="0" applyBorder="0" applyAlignment="0" applyProtection="0">
      <alignment vertical="center"/>
    </xf>
    <xf numFmtId="0" fontId="40" fillId="0" borderId="0"/>
    <xf numFmtId="0" fontId="15" fillId="0" borderId="0"/>
    <xf numFmtId="0" fontId="2" fillId="0" borderId="0"/>
    <xf numFmtId="0" fontId="38" fillId="0" borderId="0" applyNumberFormat="0" applyFill="0" applyBorder="0" applyAlignment="0" applyProtection="0">
      <alignment vertical="center"/>
    </xf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6" fillId="20" borderId="13" applyNumberFormat="0" applyAlignment="0" applyProtection="0"/>
    <xf numFmtId="0" fontId="46" fillId="20" borderId="13" applyNumberFormat="0" applyAlignment="0" applyProtection="0"/>
    <xf numFmtId="0" fontId="46" fillId="20" borderId="13" applyNumberFormat="0" applyAlignment="0" applyProtection="0"/>
    <xf numFmtId="0" fontId="46" fillId="20" borderId="13" applyNumberFormat="0" applyAlignment="0" applyProtection="0"/>
    <xf numFmtId="0" fontId="46" fillId="20" borderId="13" applyNumberFormat="0" applyAlignment="0" applyProtection="0"/>
    <xf numFmtId="0" fontId="46" fillId="20" borderId="13" applyNumberFormat="0" applyAlignment="0" applyProtection="0"/>
    <xf numFmtId="0" fontId="46" fillId="20" borderId="13" applyNumberFormat="0" applyAlignment="0" applyProtection="0"/>
    <xf numFmtId="0" fontId="46" fillId="20" borderId="13" applyNumberFormat="0" applyAlignment="0" applyProtection="0"/>
    <xf numFmtId="0" fontId="46" fillId="20" borderId="13" applyNumberFormat="0" applyAlignment="0" applyProtection="0"/>
    <xf numFmtId="0" fontId="46" fillId="20" borderId="13" applyNumberFormat="0" applyAlignment="0" applyProtection="0"/>
    <xf numFmtId="0" fontId="46" fillId="20" borderId="13" applyNumberFormat="0" applyAlignment="0" applyProtection="0"/>
    <xf numFmtId="0" fontId="46" fillId="20" borderId="13" applyNumberFormat="0" applyAlignment="0" applyProtection="0"/>
    <xf numFmtId="0" fontId="46" fillId="20" borderId="13" applyNumberFormat="0" applyAlignment="0" applyProtection="0"/>
    <xf numFmtId="0" fontId="46" fillId="20" borderId="13" applyNumberFormat="0" applyAlignment="0" applyProtection="0"/>
    <xf numFmtId="0" fontId="46" fillId="20" borderId="13" applyNumberFormat="0" applyAlignment="0" applyProtection="0"/>
    <xf numFmtId="0" fontId="46" fillId="20" borderId="13" applyNumberFormat="0" applyAlignment="0" applyProtection="0"/>
    <xf numFmtId="0" fontId="46" fillId="20" borderId="13" applyNumberFormat="0" applyAlignment="0" applyProtection="0"/>
    <xf numFmtId="0" fontId="47" fillId="21" borderId="16" applyNumberFormat="0" applyAlignment="0" applyProtection="0"/>
    <xf numFmtId="0" fontId="47" fillId="21" borderId="16" applyNumberFormat="0" applyAlignment="0" applyProtection="0"/>
    <xf numFmtId="0" fontId="47" fillId="21" borderId="16" applyNumberFormat="0" applyAlignment="0" applyProtection="0"/>
    <xf numFmtId="0" fontId="47" fillId="21" borderId="16" applyNumberFormat="0" applyAlignment="0" applyProtection="0"/>
    <xf numFmtId="0" fontId="47" fillId="21" borderId="16" applyNumberFormat="0" applyAlignment="0" applyProtection="0"/>
    <xf numFmtId="0" fontId="47" fillId="21" borderId="16" applyNumberFormat="0" applyAlignment="0" applyProtection="0"/>
    <xf numFmtId="0" fontId="47" fillId="21" borderId="16" applyNumberFormat="0" applyAlignment="0" applyProtection="0"/>
    <xf numFmtId="0" fontId="47" fillId="21" borderId="16" applyNumberFormat="0" applyAlignment="0" applyProtection="0"/>
    <xf numFmtId="0" fontId="47" fillId="21" borderId="16" applyNumberFormat="0" applyAlignment="0" applyProtection="0"/>
    <xf numFmtId="0" fontId="47" fillId="21" borderId="16" applyNumberFormat="0" applyAlignment="0" applyProtection="0"/>
    <xf numFmtId="0" fontId="47" fillId="21" borderId="16" applyNumberFormat="0" applyAlignment="0" applyProtection="0"/>
    <xf numFmtId="0" fontId="47" fillId="21" borderId="16" applyNumberFormat="0" applyAlignment="0" applyProtection="0"/>
    <xf numFmtId="0" fontId="47" fillId="21" borderId="16" applyNumberFormat="0" applyAlignment="0" applyProtection="0"/>
    <xf numFmtId="0" fontId="47" fillId="21" borderId="16" applyNumberFormat="0" applyAlignment="0" applyProtection="0"/>
    <xf numFmtId="0" fontId="47" fillId="21" borderId="16" applyNumberFormat="0" applyAlignment="0" applyProtection="0"/>
    <xf numFmtId="0" fontId="47" fillId="21" borderId="16" applyNumberFormat="0" applyAlignment="0" applyProtection="0"/>
    <xf numFmtId="0" fontId="47" fillId="21" borderId="16" applyNumberFormat="0" applyAlignment="0" applyProtection="0"/>
    <xf numFmtId="43" fontId="4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19" borderId="13" applyNumberFormat="0" applyAlignment="0" applyProtection="0"/>
    <xf numFmtId="0" fontId="53" fillId="19" borderId="13" applyNumberFormat="0" applyAlignment="0" applyProtection="0"/>
    <xf numFmtId="0" fontId="53" fillId="19" borderId="13" applyNumberFormat="0" applyAlignment="0" applyProtection="0"/>
    <xf numFmtId="0" fontId="53" fillId="19" borderId="13" applyNumberFormat="0" applyAlignment="0" applyProtection="0"/>
    <xf numFmtId="0" fontId="53" fillId="19" borderId="13" applyNumberFormat="0" applyAlignment="0" applyProtection="0"/>
    <xf numFmtId="0" fontId="53" fillId="19" borderId="13" applyNumberFormat="0" applyAlignment="0" applyProtection="0"/>
    <xf numFmtId="0" fontId="53" fillId="19" borderId="13" applyNumberFormat="0" applyAlignment="0" applyProtection="0"/>
    <xf numFmtId="0" fontId="53" fillId="19" borderId="13" applyNumberFormat="0" applyAlignment="0" applyProtection="0"/>
    <xf numFmtId="0" fontId="53" fillId="19" borderId="13" applyNumberFormat="0" applyAlignment="0" applyProtection="0"/>
    <xf numFmtId="0" fontId="53" fillId="19" borderId="13" applyNumberFormat="0" applyAlignment="0" applyProtection="0"/>
    <xf numFmtId="0" fontId="53" fillId="19" borderId="13" applyNumberFormat="0" applyAlignment="0" applyProtection="0"/>
    <xf numFmtId="0" fontId="53" fillId="19" borderId="13" applyNumberFormat="0" applyAlignment="0" applyProtection="0"/>
    <xf numFmtId="0" fontId="53" fillId="19" borderId="13" applyNumberFormat="0" applyAlignment="0" applyProtection="0"/>
    <xf numFmtId="0" fontId="53" fillId="19" borderId="13" applyNumberFormat="0" applyAlignment="0" applyProtection="0"/>
    <xf numFmtId="0" fontId="53" fillId="19" borderId="13" applyNumberFormat="0" applyAlignment="0" applyProtection="0"/>
    <xf numFmtId="0" fontId="53" fillId="19" borderId="13" applyNumberFormat="0" applyAlignment="0" applyProtection="0"/>
    <xf numFmtId="0" fontId="53" fillId="19" borderId="13" applyNumberFormat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22" borderId="17" applyNumberFormat="0" applyFont="0" applyAlignment="0" applyProtection="0"/>
    <xf numFmtId="0" fontId="43" fillId="22" borderId="17" applyNumberFormat="0" applyFont="0" applyAlignment="0" applyProtection="0"/>
    <xf numFmtId="0" fontId="43" fillId="22" borderId="17" applyNumberFormat="0" applyFont="0" applyAlignment="0" applyProtection="0"/>
    <xf numFmtId="0" fontId="43" fillId="22" borderId="17" applyNumberFormat="0" applyFont="0" applyAlignment="0" applyProtection="0"/>
    <xf numFmtId="0" fontId="43" fillId="22" borderId="17" applyNumberFormat="0" applyFont="0" applyAlignment="0" applyProtection="0"/>
    <xf numFmtId="0" fontId="43" fillId="22" borderId="17" applyNumberFormat="0" applyFont="0" applyAlignment="0" applyProtection="0"/>
    <xf numFmtId="0" fontId="43" fillId="22" borderId="17" applyNumberFormat="0" applyFont="0" applyAlignment="0" applyProtection="0"/>
    <xf numFmtId="0" fontId="43" fillId="22" borderId="17" applyNumberFormat="0" applyFont="0" applyAlignment="0" applyProtection="0"/>
    <xf numFmtId="0" fontId="43" fillId="22" borderId="17" applyNumberFormat="0" applyFont="0" applyAlignment="0" applyProtection="0"/>
    <xf numFmtId="0" fontId="43" fillId="22" borderId="17" applyNumberFormat="0" applyFont="0" applyAlignment="0" applyProtection="0"/>
    <xf numFmtId="0" fontId="43" fillId="22" borderId="17" applyNumberFormat="0" applyFont="0" applyAlignment="0" applyProtection="0"/>
    <xf numFmtId="0" fontId="43" fillId="22" borderId="17" applyNumberFormat="0" applyFont="0" applyAlignment="0" applyProtection="0"/>
    <xf numFmtId="0" fontId="43" fillId="22" borderId="17" applyNumberFormat="0" applyFont="0" applyAlignment="0" applyProtection="0"/>
    <xf numFmtId="0" fontId="43" fillId="22" borderId="17" applyNumberFormat="0" applyFont="0" applyAlignment="0" applyProtection="0"/>
    <xf numFmtId="0" fontId="43" fillId="22" borderId="17" applyNumberFormat="0" applyFont="0" applyAlignment="0" applyProtection="0"/>
    <xf numFmtId="0" fontId="43" fillId="22" borderId="17" applyNumberFormat="0" applyFont="0" applyAlignment="0" applyProtection="0"/>
    <xf numFmtId="0" fontId="43" fillId="22" borderId="17" applyNumberFormat="0" applyFont="0" applyAlignment="0" applyProtection="0"/>
    <xf numFmtId="0" fontId="56" fillId="20" borderId="14" applyNumberFormat="0" applyAlignment="0" applyProtection="0"/>
    <xf numFmtId="0" fontId="56" fillId="20" borderId="14" applyNumberFormat="0" applyAlignment="0" applyProtection="0"/>
    <xf numFmtId="0" fontId="56" fillId="20" borderId="14" applyNumberFormat="0" applyAlignment="0" applyProtection="0"/>
    <xf numFmtId="0" fontId="56" fillId="20" borderId="14" applyNumberFormat="0" applyAlignment="0" applyProtection="0"/>
    <xf numFmtId="0" fontId="56" fillId="20" borderId="14" applyNumberFormat="0" applyAlignment="0" applyProtection="0"/>
    <xf numFmtId="0" fontId="56" fillId="20" borderId="14" applyNumberFormat="0" applyAlignment="0" applyProtection="0"/>
    <xf numFmtId="0" fontId="56" fillId="20" borderId="14" applyNumberFormat="0" applyAlignment="0" applyProtection="0"/>
    <xf numFmtId="0" fontId="56" fillId="20" borderId="14" applyNumberFormat="0" applyAlignment="0" applyProtection="0"/>
    <xf numFmtId="0" fontId="56" fillId="20" borderId="14" applyNumberFormat="0" applyAlignment="0" applyProtection="0"/>
    <xf numFmtId="0" fontId="56" fillId="20" borderId="14" applyNumberFormat="0" applyAlignment="0" applyProtection="0"/>
    <xf numFmtId="0" fontId="56" fillId="20" borderId="14" applyNumberFormat="0" applyAlignment="0" applyProtection="0"/>
    <xf numFmtId="0" fontId="56" fillId="20" borderId="14" applyNumberFormat="0" applyAlignment="0" applyProtection="0"/>
    <xf numFmtId="0" fontId="56" fillId="20" borderId="14" applyNumberFormat="0" applyAlignment="0" applyProtection="0"/>
    <xf numFmtId="0" fontId="56" fillId="20" borderId="14" applyNumberFormat="0" applyAlignment="0" applyProtection="0"/>
    <xf numFmtId="0" fontId="56" fillId="20" borderId="14" applyNumberFormat="0" applyAlignment="0" applyProtection="0"/>
    <xf numFmtId="0" fontId="56" fillId="20" borderId="14" applyNumberFormat="0" applyAlignment="0" applyProtection="0"/>
    <xf numFmtId="0" fontId="56" fillId="20" borderId="14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18" applyNumberFormat="0" applyFill="0" applyAlignment="0" applyProtection="0"/>
    <xf numFmtId="0" fontId="58" fillId="0" borderId="18" applyNumberFormat="0" applyFill="0" applyAlignment="0" applyProtection="0"/>
    <xf numFmtId="0" fontId="58" fillId="0" borderId="18" applyNumberFormat="0" applyFill="0" applyAlignment="0" applyProtection="0"/>
    <xf numFmtId="0" fontId="58" fillId="0" borderId="18" applyNumberFormat="0" applyFill="0" applyAlignment="0" applyProtection="0"/>
    <xf numFmtId="0" fontId="58" fillId="0" borderId="18" applyNumberFormat="0" applyFill="0" applyAlignment="0" applyProtection="0"/>
    <xf numFmtId="0" fontId="58" fillId="0" borderId="18" applyNumberFormat="0" applyFill="0" applyAlignment="0" applyProtection="0"/>
    <xf numFmtId="0" fontId="58" fillId="0" borderId="18" applyNumberFormat="0" applyFill="0" applyAlignment="0" applyProtection="0"/>
    <xf numFmtId="0" fontId="58" fillId="0" borderId="18" applyNumberFormat="0" applyFill="0" applyAlignment="0" applyProtection="0"/>
    <xf numFmtId="0" fontId="58" fillId="0" borderId="18" applyNumberFormat="0" applyFill="0" applyAlignment="0" applyProtection="0"/>
    <xf numFmtId="0" fontId="58" fillId="0" borderId="18" applyNumberFormat="0" applyFill="0" applyAlignment="0" applyProtection="0"/>
    <xf numFmtId="0" fontId="58" fillId="0" borderId="18" applyNumberFormat="0" applyFill="0" applyAlignment="0" applyProtection="0"/>
    <xf numFmtId="0" fontId="58" fillId="0" borderId="18" applyNumberFormat="0" applyFill="0" applyAlignment="0" applyProtection="0"/>
    <xf numFmtId="0" fontId="58" fillId="0" borderId="18" applyNumberFormat="0" applyFill="0" applyAlignment="0" applyProtection="0"/>
    <xf numFmtId="0" fontId="58" fillId="0" borderId="18" applyNumberFormat="0" applyFill="0" applyAlignment="0" applyProtection="0"/>
    <xf numFmtId="0" fontId="58" fillId="0" borderId="18" applyNumberFormat="0" applyFill="0" applyAlignment="0" applyProtection="0"/>
    <xf numFmtId="0" fontId="58" fillId="0" borderId="18" applyNumberFormat="0" applyFill="0" applyAlignment="0" applyProtection="0"/>
    <xf numFmtId="0" fontId="58" fillId="0" borderId="18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8" fillId="0" borderId="0"/>
    <xf numFmtId="171" fontId="43" fillId="24" borderId="1" applyNumberFormat="0"/>
    <xf numFmtId="41" fontId="18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</cellStyleXfs>
  <cellXfs count="41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3" fillId="0" borderId="0" xfId="2" applyFont="1" applyAlignment="1">
      <alignment horizontal="center" vertical="center"/>
    </xf>
    <xf numFmtId="164" fontId="4" fillId="0" borderId="0" xfId="2" applyFont="1" applyAlignment="1">
      <alignment vertical="center"/>
    </xf>
    <xf numFmtId="164" fontId="4" fillId="0" borderId="0" xfId="2" applyFont="1"/>
    <xf numFmtId="0" fontId="3" fillId="0" borderId="0" xfId="0" applyFont="1" applyAlignment="1">
      <alignment horizontal="right" vertical="center"/>
    </xf>
    <xf numFmtId="166" fontId="5" fillId="0" borderId="0" xfId="0" applyNumberFormat="1" applyFont="1" applyAlignment="1">
      <alignment horizontal="left" vertical="center"/>
    </xf>
    <xf numFmtId="16" fontId="6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41" fontId="4" fillId="0" borderId="1" xfId="1" applyNumberFormat="1" applyFont="1" applyBorder="1" applyAlignment="1">
      <alignment vertical="center"/>
    </xf>
    <xf numFmtId="41" fontId="7" fillId="0" borderId="1" xfId="1" applyNumberFormat="1" applyFont="1" applyFill="1" applyBorder="1" applyAlignment="1">
      <alignment vertical="center"/>
    </xf>
    <xf numFmtId="41" fontId="4" fillId="0" borderId="1" xfId="1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41" fontId="9" fillId="0" borderId="1" xfId="1" applyNumberFormat="1" applyFont="1" applyFill="1" applyBorder="1" applyAlignment="1">
      <alignment vertical="center"/>
    </xf>
    <xf numFmtId="164" fontId="4" fillId="0" borderId="0" xfId="2" applyFont="1" applyFill="1"/>
    <xf numFmtId="0" fontId="5" fillId="0" borderId="1" xfId="0" applyFont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4" fillId="4" borderId="0" xfId="0" applyFont="1" applyFill="1"/>
    <xf numFmtId="41" fontId="4" fillId="4" borderId="1" xfId="0" applyNumberFormat="1" applyFont="1" applyFill="1" applyBorder="1"/>
    <xf numFmtId="0" fontId="11" fillId="0" borderId="1" xfId="0" applyFont="1" applyBorder="1" applyAlignment="1">
      <alignment vertical="center"/>
    </xf>
    <xf numFmtId="41" fontId="4" fillId="0" borderId="1" xfId="0" applyNumberFormat="1" applyFont="1" applyBorder="1" applyAlignment="1">
      <alignment vertical="center"/>
    </xf>
    <xf numFmtId="0" fontId="12" fillId="5" borderId="1" xfId="0" applyFont="1" applyFill="1" applyBorder="1" applyAlignment="1">
      <alignment vertical="center"/>
    </xf>
    <xf numFmtId="0" fontId="11" fillId="0" borderId="1" xfId="0" applyFont="1" applyBorder="1"/>
    <xf numFmtId="41" fontId="9" fillId="0" borderId="1" xfId="1" applyNumberFormat="1" applyFont="1" applyBorder="1" applyAlignment="1">
      <alignment vertical="center"/>
    </xf>
    <xf numFmtId="0" fontId="10" fillId="4" borderId="1" xfId="0" applyFont="1" applyFill="1" applyBorder="1"/>
    <xf numFmtId="0" fontId="4" fillId="4" borderId="1" xfId="0" applyFont="1" applyFill="1" applyBorder="1" applyAlignment="1">
      <alignment vertical="center"/>
    </xf>
    <xf numFmtId="41" fontId="4" fillId="4" borderId="1" xfId="1" applyNumberFormat="1" applyFont="1" applyFill="1" applyBorder="1" applyAlignment="1">
      <alignment vertical="center"/>
    </xf>
    <xf numFmtId="41" fontId="4" fillId="4" borderId="1" xfId="0" applyNumberFormat="1" applyFont="1" applyFill="1" applyBorder="1" applyAlignment="1">
      <alignment vertical="center"/>
    </xf>
    <xf numFmtId="41" fontId="4" fillId="6" borderId="1" xfId="0" applyNumberFormat="1" applyFont="1" applyFill="1" applyBorder="1"/>
    <xf numFmtId="0" fontId="3" fillId="0" borderId="1" xfId="0" applyFont="1" applyBorder="1"/>
    <xf numFmtId="164" fontId="9" fillId="0" borderId="1" xfId="0" applyNumberFormat="1" applyFont="1" applyBorder="1"/>
    <xf numFmtId="0" fontId="3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67" fontId="3" fillId="6" borderId="1" xfId="1" applyNumberFormat="1" applyFont="1" applyFill="1" applyBorder="1" applyAlignment="1">
      <alignment horizontal="center" vertical="center"/>
    </xf>
    <xf numFmtId="16" fontId="6" fillId="6" borderId="1" xfId="0" applyNumberFormat="1" applyFont="1" applyFill="1" applyBorder="1" applyAlignment="1">
      <alignment horizontal="center" vertical="center"/>
    </xf>
    <xf numFmtId="41" fontId="13" fillId="4" borderId="1" xfId="1" applyNumberFormat="1" applyFont="1" applyFill="1" applyBorder="1" applyAlignment="1">
      <alignment vertical="center"/>
    </xf>
    <xf numFmtId="164" fontId="13" fillId="4" borderId="1" xfId="0" applyNumberFormat="1" applyFont="1" applyFill="1" applyBorder="1"/>
    <xf numFmtId="41" fontId="4" fillId="0" borderId="0" xfId="0" applyNumberFormat="1" applyFont="1"/>
    <xf numFmtId="0" fontId="4" fillId="0" borderId="1" xfId="0" applyFont="1" applyBorder="1"/>
    <xf numFmtId="164" fontId="4" fillId="0" borderId="1" xfId="2" applyFont="1" applyBorder="1"/>
    <xf numFmtId="164" fontId="4" fillId="0" borderId="0" xfId="0" applyNumberFormat="1" applyFont="1"/>
    <xf numFmtId="14" fontId="4" fillId="0" borderId="0" xfId="0" applyNumberFormat="1" applyFont="1"/>
    <xf numFmtId="168" fontId="15" fillId="0" borderId="0" xfId="1" applyNumberFormat="1" applyFont="1" applyBorder="1"/>
    <xf numFmtId="0" fontId="0" fillId="0" borderId="0" xfId="0" applyBorder="1"/>
    <xf numFmtId="43" fontId="0" fillId="0" borderId="0" xfId="1" applyNumberFormat="1" applyFont="1" applyBorder="1"/>
    <xf numFmtId="164" fontId="9" fillId="0" borderId="1" xfId="0" applyNumberFormat="1" applyFont="1" applyFill="1" applyBorder="1"/>
    <xf numFmtId="0" fontId="4" fillId="0" borderId="0" xfId="0" applyFont="1" applyFill="1"/>
    <xf numFmtId="0" fontId="4" fillId="0" borderId="1" xfId="0" applyFont="1" applyFill="1" applyBorder="1"/>
    <xf numFmtId="41" fontId="13" fillId="0" borderId="1" xfId="1" applyNumberFormat="1" applyFont="1" applyFill="1" applyBorder="1" applyAlignment="1">
      <alignment vertical="center"/>
    </xf>
    <xf numFmtId="164" fontId="13" fillId="0" borderId="1" xfId="0" applyNumberFormat="1" applyFont="1" applyFill="1" applyBorder="1"/>
    <xf numFmtId="41" fontId="9" fillId="0" borderId="2" xfId="1" applyNumberFormat="1" applyFont="1" applyBorder="1" applyAlignment="1">
      <alignment vertical="center"/>
    </xf>
    <xf numFmtId="164" fontId="9" fillId="0" borderId="1" xfId="2" applyFont="1" applyBorder="1" applyAlignment="1">
      <alignment vertical="center"/>
    </xf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164" fontId="9" fillId="0" borderId="4" xfId="0" applyNumberFormat="1" applyFont="1" applyFill="1" applyBorder="1"/>
    <xf numFmtId="41" fontId="4" fillId="4" borderId="4" xfId="0" applyNumberFormat="1" applyFont="1" applyFill="1" applyBorder="1"/>
    <xf numFmtId="41" fontId="4" fillId="0" borderId="4" xfId="1" applyNumberFormat="1" applyFont="1" applyBorder="1" applyAlignment="1">
      <alignment vertical="center"/>
    </xf>
    <xf numFmtId="41" fontId="9" fillId="0" borderId="4" xfId="1" applyNumberFormat="1" applyFont="1" applyBorder="1" applyAlignment="1">
      <alignment vertical="center"/>
    </xf>
    <xf numFmtId="0" fontId="4" fillId="0" borderId="4" xfId="0" applyFont="1" applyBorder="1"/>
    <xf numFmtId="0" fontId="7" fillId="0" borderId="0" xfId="0" applyFont="1" applyAlignment="1">
      <alignment vertical="center"/>
    </xf>
    <xf numFmtId="164" fontId="7" fillId="0" borderId="0" xfId="2" applyFont="1" applyAlignment="1">
      <alignment vertical="center"/>
    </xf>
    <xf numFmtId="0" fontId="7" fillId="0" borderId="0" xfId="0" applyFont="1"/>
    <xf numFmtId="164" fontId="7" fillId="0" borderId="1" xfId="2" applyFont="1" applyBorder="1"/>
    <xf numFmtId="41" fontId="7" fillId="4" borderId="1" xfId="0" applyNumberFormat="1" applyFont="1" applyFill="1" applyBorder="1"/>
    <xf numFmtId="41" fontId="7" fillId="0" borderId="1" xfId="1" applyNumberFormat="1" applyFont="1" applyBorder="1" applyAlignment="1">
      <alignment vertical="center"/>
    </xf>
    <xf numFmtId="164" fontId="7" fillId="0" borderId="1" xfId="2" applyFont="1" applyBorder="1" applyAlignment="1">
      <alignment vertical="center"/>
    </xf>
    <xf numFmtId="164" fontId="7" fillId="0" borderId="2" xfId="2" applyFont="1" applyBorder="1" applyAlignment="1">
      <alignment vertical="center"/>
    </xf>
    <xf numFmtId="41" fontId="7" fillId="4" borderId="1" xfId="1" applyNumberFormat="1" applyFont="1" applyFill="1" applyBorder="1" applyAlignment="1">
      <alignment vertical="center"/>
    </xf>
    <xf numFmtId="41" fontId="7" fillId="6" borderId="1" xfId="0" applyNumberFormat="1" applyFont="1" applyFill="1" applyBorder="1"/>
    <xf numFmtId="164" fontId="7" fillId="0" borderId="0" xfId="2" applyFont="1"/>
    <xf numFmtId="164" fontId="7" fillId="0" borderId="1" xfId="0" applyNumberFormat="1" applyFont="1" applyFill="1" applyBorder="1"/>
    <xf numFmtId="164" fontId="7" fillId="0" borderId="0" xfId="0" applyNumberFormat="1" applyFont="1"/>
    <xf numFmtId="41" fontId="7" fillId="0" borderId="4" xfId="1" applyNumberFormat="1" applyFont="1" applyBorder="1" applyAlignment="1">
      <alignment vertical="center"/>
    </xf>
    <xf numFmtId="41" fontId="7" fillId="0" borderId="4" xfId="1" applyNumberFormat="1" applyFont="1" applyFill="1" applyBorder="1" applyAlignment="1">
      <alignment vertical="center"/>
    </xf>
    <xf numFmtId="41" fontId="17" fillId="0" borderId="1" xfId="138" applyNumberFormat="1" applyFont="1" applyFill="1" applyBorder="1" applyAlignment="1" applyProtection="1">
      <alignment horizontal="right" vertical="center"/>
      <protection locked="0"/>
    </xf>
    <xf numFmtId="0" fontId="7" fillId="0" borderId="1" xfId="0" applyFont="1" applyBorder="1"/>
    <xf numFmtId="164" fontId="9" fillId="0" borderId="2" xfId="0" applyNumberFormat="1" applyFont="1" applyFill="1" applyBorder="1"/>
    <xf numFmtId="41" fontId="7" fillId="0" borderId="0" xfId="0" applyNumberFormat="1" applyFont="1"/>
    <xf numFmtId="164" fontId="7" fillId="0" borderId="1" xfId="0" applyNumberFormat="1" applyFont="1" applyBorder="1"/>
    <xf numFmtId="164" fontId="9" fillId="0" borderId="0" xfId="0" applyNumberFormat="1" applyFont="1" applyBorder="1"/>
    <xf numFmtId="41" fontId="21" fillId="0" borderId="1" xfId="1" applyNumberFormat="1" applyFont="1" applyFill="1" applyBorder="1" applyAlignment="1">
      <alignment vertical="center"/>
    </xf>
    <xf numFmtId="164" fontId="7" fillId="0" borderId="2" xfId="0" applyNumberFormat="1" applyFont="1" applyFill="1" applyBorder="1"/>
    <xf numFmtId="0" fontId="7" fillId="0" borderId="2" xfId="0" applyFont="1" applyBorder="1"/>
    <xf numFmtId="164" fontId="9" fillId="0" borderId="1" xfId="2" applyFont="1" applyFill="1" applyBorder="1"/>
    <xf numFmtId="164" fontId="4" fillId="0" borderId="1" xfId="2" applyFont="1" applyFill="1" applyBorder="1"/>
    <xf numFmtId="0" fontId="4" fillId="0" borderId="2" xfId="0" applyFont="1" applyBorder="1"/>
    <xf numFmtId="41" fontId="7" fillId="0" borderId="2" xfId="1" applyNumberFormat="1" applyFont="1" applyFill="1" applyBorder="1" applyAlignment="1">
      <alignment vertical="center"/>
    </xf>
    <xf numFmtId="164" fontId="9" fillId="0" borderId="1" xfId="2" applyFont="1" applyBorder="1"/>
    <xf numFmtId="164" fontId="9" fillId="0" borderId="7" xfId="0" applyNumberFormat="1" applyFont="1" applyFill="1" applyBorder="1"/>
    <xf numFmtId="164" fontId="9" fillId="0" borderId="8" xfId="0" applyNumberFormat="1" applyFont="1" applyFill="1" applyBorder="1"/>
    <xf numFmtId="164" fontId="7" fillId="0" borderId="4" xfId="0" applyNumberFormat="1" applyFont="1" applyFill="1" applyBorder="1"/>
    <xf numFmtId="164" fontId="7" fillId="0" borderId="1" xfId="2" applyFont="1" applyFill="1" applyBorder="1"/>
    <xf numFmtId="164" fontId="7" fillId="0" borderId="3" xfId="0" applyNumberFormat="1" applyFont="1" applyFill="1" applyBorder="1"/>
    <xf numFmtId="164" fontId="7" fillId="0" borderId="2" xfId="2" applyFont="1" applyFill="1" applyBorder="1"/>
    <xf numFmtId="164" fontId="7" fillId="4" borderId="1" xfId="2" applyFont="1" applyFill="1" applyBorder="1"/>
    <xf numFmtId="164" fontId="7" fillId="4" borderId="1" xfId="0" applyNumberFormat="1" applyFont="1" applyFill="1" applyBorder="1"/>
    <xf numFmtId="164" fontId="7" fillId="4" borderId="0" xfId="2" applyFont="1" applyFill="1"/>
    <xf numFmtId="164" fontId="9" fillId="0" borderId="3" xfId="0" applyNumberFormat="1" applyFont="1" applyFill="1" applyBorder="1"/>
    <xf numFmtId="0" fontId="7" fillId="0" borderId="0" xfId="0" applyFont="1" applyFill="1"/>
    <xf numFmtId="0" fontId="7" fillId="0" borderId="1" xfId="0" applyFont="1" applyFill="1" applyBorder="1"/>
    <xf numFmtId="0" fontId="4" fillId="0" borderId="2" xfId="0" applyFont="1" applyFill="1" applyBorder="1"/>
    <xf numFmtId="0" fontId="7" fillId="0" borderId="4" xfId="0" applyFont="1" applyFill="1" applyBorder="1"/>
    <xf numFmtId="164" fontId="7" fillId="0" borderId="0" xfId="2" applyFont="1" applyFill="1"/>
    <xf numFmtId="164" fontId="9" fillId="0" borderId="0" xfId="0" applyNumberFormat="1" applyFont="1" applyFill="1" applyBorder="1"/>
    <xf numFmtId="0" fontId="4" fillId="0" borderId="3" xfId="0" applyFont="1" applyFill="1" applyBorder="1"/>
    <xf numFmtId="0" fontId="4" fillId="0" borderId="3" xfId="0" applyFont="1" applyBorder="1"/>
    <xf numFmtId="41" fontId="4" fillId="0" borderId="2" xfId="1" applyNumberFormat="1" applyFont="1" applyBorder="1" applyAlignment="1">
      <alignment vertical="center"/>
    </xf>
    <xf numFmtId="41" fontId="7" fillId="0" borderId="2" xfId="1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1" fontId="9" fillId="4" borderId="1" xfId="1" applyNumberFormat="1" applyFont="1" applyFill="1" applyBorder="1" applyAlignment="1">
      <alignment vertical="center"/>
    </xf>
    <xf numFmtId="41" fontId="4" fillId="0" borderId="2" xfId="1" applyNumberFormat="1" applyFont="1" applyFill="1" applyBorder="1" applyAlignment="1">
      <alignment vertical="center"/>
    </xf>
    <xf numFmtId="164" fontId="4" fillId="0" borderId="2" xfId="2" applyFont="1" applyFill="1" applyBorder="1"/>
    <xf numFmtId="164" fontId="3" fillId="0" borderId="1" xfId="2" applyFont="1" applyBorder="1"/>
    <xf numFmtId="164" fontId="4" fillId="0" borderId="2" xfId="2" applyFont="1" applyBorder="1"/>
    <xf numFmtId="164" fontId="3" fillId="0" borderId="2" xfId="2" applyFont="1" applyBorder="1"/>
    <xf numFmtId="164" fontId="9" fillId="0" borderId="2" xfId="2" applyFont="1" applyFill="1" applyBorder="1"/>
    <xf numFmtId="0" fontId="4" fillId="0" borderId="2" xfId="0" applyFont="1" applyBorder="1" applyAlignment="1">
      <alignment vertical="center"/>
    </xf>
    <xf numFmtId="41" fontId="7" fillId="7" borderId="1" xfId="1" applyNumberFormat="1" applyFont="1" applyFill="1" applyBorder="1" applyAlignment="1">
      <alignment vertical="center"/>
    </xf>
    <xf numFmtId="164" fontId="7" fillId="7" borderId="1" xfId="0" applyNumberFormat="1" applyFont="1" applyFill="1" applyBorder="1"/>
    <xf numFmtId="0" fontId="4" fillId="0" borderId="0" xfId="0" applyFont="1" applyBorder="1"/>
    <xf numFmtId="164" fontId="7" fillId="0" borderId="8" xfId="0" applyNumberFormat="1" applyFont="1" applyFill="1" applyBorder="1"/>
    <xf numFmtId="164" fontId="9" fillId="4" borderId="1" xfId="2" applyFont="1" applyFill="1" applyBorder="1"/>
    <xf numFmtId="164" fontId="9" fillId="0" borderId="0" xfId="0" applyNumberFormat="1" applyFont="1"/>
    <xf numFmtId="41" fontId="7" fillId="0" borderId="0" xfId="1" applyNumberFormat="1" applyFont="1" applyBorder="1" applyAlignment="1">
      <alignment vertical="center"/>
    </xf>
    <xf numFmtId="0" fontId="2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4" fontId="0" fillId="0" borderId="1" xfId="2" applyFont="1" applyBorder="1"/>
    <xf numFmtId="164" fontId="0" fillId="0" borderId="0" xfId="2" applyFont="1"/>
    <xf numFmtId="164" fontId="0" fillId="0" borderId="0" xfId="0" applyNumberFormat="1"/>
    <xf numFmtId="0" fontId="8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NumberFormat="1" applyFont="1"/>
    <xf numFmtId="0" fontId="4" fillId="4" borderId="1" xfId="0" applyFont="1" applyFill="1" applyBorder="1"/>
    <xf numFmtId="0" fontId="8" fillId="8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7" fillId="8" borderId="1" xfId="0" applyFont="1" applyFill="1" applyBorder="1"/>
    <xf numFmtId="0" fontId="4" fillId="8" borderId="1" xfId="0" applyFont="1" applyFill="1" applyBorder="1"/>
    <xf numFmtId="164" fontId="7" fillId="8" borderId="1" xfId="2" applyFont="1" applyFill="1" applyBorder="1"/>
    <xf numFmtId="164" fontId="9" fillId="8" borderId="1" xfId="2" applyFont="1" applyFill="1" applyBorder="1"/>
    <xf numFmtId="0" fontId="4" fillId="0" borderId="8" xfId="0" applyFont="1" applyBorder="1"/>
    <xf numFmtId="164" fontId="7" fillId="0" borderId="1" xfId="2" applyFont="1" applyFill="1" applyBorder="1" applyAlignment="1">
      <alignment vertical="center"/>
    </xf>
    <xf numFmtId="164" fontId="9" fillId="4" borderId="1" xfId="0" applyNumberFormat="1" applyFont="1" applyFill="1" applyBorder="1"/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/>
    <xf numFmtId="164" fontId="23" fillId="0" borderId="0" xfId="2" applyFont="1" applyAlignment="1">
      <alignment horizontal="center" vertical="center"/>
    </xf>
    <xf numFmtId="164" fontId="24" fillId="0" borderId="0" xfId="2" applyFont="1" applyAlignment="1">
      <alignment vertical="center"/>
    </xf>
    <xf numFmtId="164" fontId="25" fillId="0" borderId="0" xfId="2" applyFont="1" applyAlignment="1">
      <alignment vertical="center"/>
    </xf>
    <xf numFmtId="164" fontId="24" fillId="0" borderId="0" xfId="2" applyFont="1"/>
    <xf numFmtId="0" fontId="23" fillId="0" borderId="0" xfId="0" applyFont="1" applyAlignment="1">
      <alignment horizontal="right" vertical="center"/>
    </xf>
    <xf numFmtId="166" fontId="26" fillId="0" borderId="0" xfId="0" applyNumberFormat="1" applyFont="1" applyAlignment="1">
      <alignment horizontal="left" vertical="center"/>
    </xf>
    <xf numFmtId="0" fontId="23" fillId="6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167" fontId="23" fillId="6" borderId="1" xfId="1" applyNumberFormat="1" applyFont="1" applyFill="1" applyBorder="1" applyAlignment="1">
      <alignment horizontal="center" vertical="center"/>
    </xf>
    <xf numFmtId="16" fontId="27" fillId="6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vertical="center"/>
    </xf>
    <xf numFmtId="0" fontId="24" fillId="0" borderId="1" xfId="0" applyFont="1" applyBorder="1" applyAlignment="1">
      <alignment vertical="center"/>
    </xf>
    <xf numFmtId="41" fontId="24" fillId="0" borderId="1" xfId="1" applyNumberFormat="1" applyFont="1" applyFill="1" applyBorder="1" applyAlignment="1">
      <alignment vertical="center"/>
    </xf>
    <xf numFmtId="41" fontId="25" fillId="0" borderId="1" xfId="1" applyNumberFormat="1" applyFont="1" applyFill="1" applyBorder="1" applyAlignment="1">
      <alignment vertical="center"/>
    </xf>
    <xf numFmtId="41" fontId="24" fillId="0" borderId="1" xfId="1" applyNumberFormat="1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164" fontId="29" fillId="0" borderId="1" xfId="0" applyNumberFormat="1" applyFont="1" applyFill="1" applyBorder="1"/>
    <xf numFmtId="164" fontId="25" fillId="0" borderId="1" xfId="0" applyNumberFormat="1" applyFont="1" applyFill="1" applyBorder="1"/>
    <xf numFmtId="0" fontId="24" fillId="0" borderId="1" xfId="0" applyFont="1" applyBorder="1"/>
    <xf numFmtId="0" fontId="24" fillId="0" borderId="1" xfId="0" applyFont="1" applyFill="1" applyBorder="1"/>
    <xf numFmtId="164" fontId="24" fillId="0" borderId="1" xfId="2" applyFont="1" applyFill="1" applyBorder="1"/>
    <xf numFmtId="164" fontId="25" fillId="0" borderId="1" xfId="2" applyFont="1" applyFill="1" applyBorder="1"/>
    <xf numFmtId="164" fontId="24" fillId="0" borderId="0" xfId="2" applyFont="1" applyFill="1"/>
    <xf numFmtId="0" fontId="25" fillId="0" borderId="1" xfId="0" applyFont="1" applyBorder="1"/>
    <xf numFmtId="164" fontId="29" fillId="0" borderId="1" xfId="2" applyFont="1" applyFill="1" applyBorder="1"/>
    <xf numFmtId="164" fontId="24" fillId="0" borderId="1" xfId="2" applyFont="1" applyBorder="1"/>
    <xf numFmtId="0" fontId="25" fillId="0" borderId="1" xfId="0" applyFont="1" applyFill="1" applyBorder="1"/>
    <xf numFmtId="164" fontId="29" fillId="0" borderId="1" xfId="2" applyFont="1" applyBorder="1"/>
    <xf numFmtId="0" fontId="26" fillId="0" borderId="1" xfId="0" applyFont="1" applyBorder="1" applyAlignment="1">
      <alignment vertical="center"/>
    </xf>
    <xf numFmtId="164" fontId="25" fillId="0" borderId="1" xfId="2" applyFont="1" applyBorder="1"/>
    <xf numFmtId="164" fontId="29" fillId="4" borderId="1" xfId="0" applyNumberFormat="1" applyFont="1" applyFill="1" applyBorder="1"/>
    <xf numFmtId="0" fontId="25" fillId="0" borderId="0" xfId="0" applyFont="1"/>
    <xf numFmtId="164" fontId="25" fillId="4" borderId="1" xfId="0" applyNumberFormat="1" applyFont="1" applyFill="1" applyBorder="1"/>
    <xf numFmtId="164" fontId="29" fillId="0" borderId="0" xfId="0" applyNumberFormat="1" applyFont="1" applyBorder="1"/>
    <xf numFmtId="14" fontId="24" fillId="0" borderId="0" xfId="0" applyNumberFormat="1" applyFont="1"/>
    <xf numFmtId="0" fontId="24" fillId="0" borderId="0" xfId="0" applyNumberFormat="1" applyFont="1"/>
    <xf numFmtId="0" fontId="28" fillId="0" borderId="1" xfId="0" applyFont="1" applyFill="1" applyBorder="1" applyAlignment="1">
      <alignment vertical="center"/>
    </xf>
    <xf numFmtId="0" fontId="24" fillId="8" borderId="1" xfId="0" applyFont="1" applyFill="1" applyBorder="1" applyAlignment="1">
      <alignment vertical="center"/>
    </xf>
    <xf numFmtId="164" fontId="29" fillId="0" borderId="0" xfId="0" applyNumberFormat="1" applyFont="1" applyFill="1" applyBorder="1"/>
    <xf numFmtId="41" fontId="29" fillId="0" borderId="1" xfId="1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3" fillId="0" borderId="1" xfId="0" applyFont="1" applyBorder="1"/>
    <xf numFmtId="164" fontId="25" fillId="0" borderId="0" xfId="2" applyFont="1"/>
    <xf numFmtId="164" fontId="29" fillId="0" borderId="0" xfId="2" applyFont="1"/>
    <xf numFmtId="0" fontId="30" fillId="4" borderId="1" xfId="0" applyFont="1" applyFill="1" applyBorder="1" applyAlignment="1">
      <alignment vertical="center"/>
    </xf>
    <xf numFmtId="0" fontId="24" fillId="4" borderId="1" xfId="0" applyFont="1" applyFill="1" applyBorder="1"/>
    <xf numFmtId="41" fontId="25" fillId="4" borderId="1" xfId="0" applyNumberFormat="1" applyFont="1" applyFill="1" applyBorder="1"/>
    <xf numFmtId="41" fontId="24" fillId="4" borderId="1" xfId="0" applyNumberFormat="1" applyFont="1" applyFill="1" applyBorder="1"/>
    <xf numFmtId="0" fontId="31" fillId="0" borderId="1" xfId="0" applyFont="1" applyBorder="1" applyAlignment="1">
      <alignment vertical="center"/>
    </xf>
    <xf numFmtId="41" fontId="25" fillId="0" borderId="1" xfId="1" applyNumberFormat="1" applyFont="1" applyBorder="1" applyAlignment="1">
      <alignment vertical="center"/>
    </xf>
    <xf numFmtId="41" fontId="24" fillId="0" borderId="1" xfId="0" applyNumberFormat="1" applyFont="1" applyBorder="1" applyAlignment="1">
      <alignment vertical="center"/>
    </xf>
    <xf numFmtId="0" fontId="32" fillId="5" borderId="1" xfId="0" applyFont="1" applyFill="1" applyBorder="1" applyAlignment="1">
      <alignment vertical="center"/>
    </xf>
    <xf numFmtId="0" fontId="31" fillId="0" borderId="1" xfId="0" applyFont="1" applyBorder="1"/>
    <xf numFmtId="41" fontId="29" fillId="0" borderId="1" xfId="1" applyNumberFormat="1" applyFont="1" applyBorder="1" applyAlignment="1">
      <alignment vertical="center"/>
    </xf>
    <xf numFmtId="164" fontId="25" fillId="0" borderId="1" xfId="2" applyFont="1" applyBorder="1" applyAlignment="1">
      <alignment vertical="center"/>
    </xf>
    <xf numFmtId="164" fontId="29" fillId="0" borderId="1" xfId="2" applyFont="1" applyBorder="1" applyAlignment="1">
      <alignment vertical="center"/>
    </xf>
    <xf numFmtId="41" fontId="25" fillId="0" borderId="2" xfId="1" applyNumberFormat="1" applyFont="1" applyBorder="1" applyAlignment="1">
      <alignment vertical="center"/>
    </xf>
    <xf numFmtId="164" fontId="25" fillId="0" borderId="1" xfId="2" applyFont="1" applyFill="1" applyBorder="1" applyAlignment="1">
      <alignment vertical="center"/>
    </xf>
    <xf numFmtId="164" fontId="25" fillId="0" borderId="2" xfId="2" applyFont="1" applyBorder="1" applyAlignment="1">
      <alignment vertical="center"/>
    </xf>
    <xf numFmtId="41" fontId="25" fillId="0" borderId="4" xfId="1" applyNumberFormat="1" applyFont="1" applyBorder="1" applyAlignment="1">
      <alignment vertical="center"/>
    </xf>
    <xf numFmtId="0" fontId="30" fillId="4" borderId="1" xfId="0" applyFont="1" applyFill="1" applyBorder="1"/>
    <xf numFmtId="0" fontId="24" fillId="4" borderId="1" xfId="0" applyFont="1" applyFill="1" applyBorder="1" applyAlignment="1">
      <alignment vertical="center"/>
    </xf>
    <xf numFmtId="41" fontId="25" fillId="4" borderId="1" xfId="1" applyNumberFormat="1" applyFont="1" applyFill="1" applyBorder="1" applyAlignment="1">
      <alignment vertical="center"/>
    </xf>
    <xf numFmtId="41" fontId="24" fillId="4" borderId="1" xfId="0" applyNumberFormat="1" applyFont="1" applyFill="1" applyBorder="1" applyAlignment="1">
      <alignment vertical="center"/>
    </xf>
    <xf numFmtId="41" fontId="25" fillId="6" borderId="1" xfId="0" applyNumberFormat="1" applyFont="1" applyFill="1" applyBorder="1"/>
    <xf numFmtId="41" fontId="24" fillId="6" borderId="1" xfId="0" applyNumberFormat="1" applyFont="1" applyFill="1" applyBorder="1"/>
    <xf numFmtId="41" fontId="24" fillId="0" borderId="0" xfId="0" applyNumberFormat="1" applyFont="1"/>
    <xf numFmtId="164" fontId="25" fillId="0" borderId="0" xfId="0" applyNumberFormat="1" applyFont="1"/>
    <xf numFmtId="164" fontId="24" fillId="0" borderId="0" xfId="0" applyNumberFormat="1" applyFont="1"/>
    <xf numFmtId="41" fontId="25" fillId="0" borderId="0" xfId="0" applyNumberFormat="1" applyFont="1"/>
    <xf numFmtId="164" fontId="29" fillId="0" borderId="0" xfId="0" applyNumberFormat="1" applyFont="1"/>
    <xf numFmtId="164" fontId="24" fillId="0" borderId="2" xfId="2" applyFont="1" applyBorder="1"/>
    <xf numFmtId="168" fontId="33" fillId="0" borderId="0" xfId="1" applyNumberFormat="1" applyFont="1" applyBorder="1"/>
    <xf numFmtId="164" fontId="23" fillId="0" borderId="2" xfId="2" applyFont="1" applyBorder="1"/>
    <xf numFmtId="0" fontId="23" fillId="0" borderId="1" xfId="0" applyFont="1" applyBorder="1" applyAlignment="1">
      <alignment horizontal="center"/>
    </xf>
    <xf numFmtId="14" fontId="24" fillId="0" borderId="1" xfId="0" applyNumberFormat="1" applyFont="1" applyBorder="1"/>
    <xf numFmtId="164" fontId="23" fillId="0" borderId="1" xfId="2" applyFont="1" applyBorder="1"/>
    <xf numFmtId="0" fontId="24" fillId="0" borderId="0" xfId="0" applyFont="1" applyBorder="1"/>
    <xf numFmtId="43" fontId="24" fillId="0" borderId="0" xfId="1" applyNumberFormat="1" applyFont="1" applyBorder="1"/>
    <xf numFmtId="164" fontId="29" fillId="0" borderId="0" xfId="2" applyFont="1" applyFill="1"/>
    <xf numFmtId="0" fontId="27" fillId="0" borderId="1" xfId="0" applyFont="1" applyFill="1" applyBorder="1" applyAlignment="1">
      <alignment vertical="center"/>
    </xf>
    <xf numFmtId="0" fontId="29" fillId="0" borderId="1" xfId="0" applyFont="1" applyFill="1" applyBorder="1"/>
    <xf numFmtId="164" fontId="34" fillId="0" borderId="1" xfId="0" applyNumberFormat="1" applyFont="1" applyFill="1" applyBorder="1"/>
    <xf numFmtId="164" fontId="34" fillId="0" borderId="1" xfId="2" applyFont="1" applyFill="1" applyBorder="1"/>
    <xf numFmtId="0" fontId="34" fillId="0" borderId="1" xfId="0" applyFont="1" applyFill="1" applyBorder="1"/>
    <xf numFmtId="164" fontId="29" fillId="9" borderId="1" xfId="2" applyFont="1" applyFill="1" applyBorder="1"/>
    <xf numFmtId="164" fontId="29" fillId="9" borderId="1" xfId="0" applyNumberFormat="1" applyFont="1" applyFill="1" applyBorder="1"/>
    <xf numFmtId="164" fontId="25" fillId="9" borderId="1" xfId="2" applyFont="1" applyFill="1" applyBorder="1"/>
    <xf numFmtId="164" fontId="24" fillId="0" borderId="1" xfId="2" applyFont="1" applyFill="1" applyBorder="1" applyAlignment="1">
      <alignment vertical="center"/>
    </xf>
    <xf numFmtId="164" fontId="29" fillId="4" borderId="1" xfId="2" applyFont="1" applyFill="1" applyBorder="1"/>
    <xf numFmtId="3" fontId="24" fillId="11" borderId="0" xfId="0" applyNumberFormat="1" applyFont="1" applyFill="1"/>
    <xf numFmtId="3" fontId="24" fillId="10" borderId="0" xfId="0" applyNumberFormat="1" applyFont="1" applyFill="1"/>
    <xf numFmtId="0" fontId="24" fillId="0" borderId="0" xfId="0" applyFont="1" applyFill="1"/>
    <xf numFmtId="164" fontId="25" fillId="9" borderId="1" xfId="0" applyNumberFormat="1" applyFont="1" applyFill="1" applyBorder="1"/>
    <xf numFmtId="41" fontId="27" fillId="0" borderId="1" xfId="15" applyFont="1" applyFill="1" applyBorder="1" applyAlignment="1">
      <alignment horizontal="right" vertical="top"/>
    </xf>
    <xf numFmtId="3" fontId="29" fillId="0" borderId="1" xfId="0" applyNumberFormat="1" applyFont="1" applyFill="1" applyBorder="1" applyAlignment="1" applyProtection="1">
      <alignment horizontal="right"/>
      <protection locked="0"/>
    </xf>
    <xf numFmtId="168" fontId="31" fillId="0" borderId="0" xfId="1" applyNumberFormat="1" applyFont="1" applyBorder="1"/>
    <xf numFmtId="164" fontId="24" fillId="0" borderId="0" xfId="2" applyFont="1" applyBorder="1"/>
    <xf numFmtId="14" fontId="23" fillId="0" borderId="1" xfId="0" applyNumberFormat="1" applyFont="1" applyBorder="1" applyAlignment="1">
      <alignment horizontal="center"/>
    </xf>
    <xf numFmtId="168" fontId="31" fillId="0" borderId="1" xfId="1" applyNumberFormat="1" applyFont="1" applyBorder="1"/>
    <xf numFmtId="168" fontId="24" fillId="0" borderId="1" xfId="0" applyNumberFormat="1" applyFont="1" applyBorder="1"/>
    <xf numFmtId="3" fontId="25" fillId="0" borderId="1" xfId="0" applyNumberFormat="1" applyFont="1" applyFill="1" applyBorder="1" applyAlignment="1" applyProtection="1">
      <alignment horizontal="right"/>
      <protection locked="0"/>
    </xf>
    <xf numFmtId="164" fontId="29" fillId="12" borderId="1" xfId="2" applyFont="1" applyFill="1" applyBorder="1"/>
    <xf numFmtId="164" fontId="29" fillId="12" borderId="1" xfId="0" applyNumberFormat="1" applyFont="1" applyFill="1" applyBorder="1"/>
    <xf numFmtId="167" fontId="23" fillId="6" borderId="4" xfId="1" applyNumberFormat="1" applyFont="1" applyFill="1" applyBorder="1" applyAlignment="1">
      <alignment horizontal="left" vertical="justify"/>
    </xf>
    <xf numFmtId="164" fontId="25" fillId="12" borderId="1" xfId="0" applyNumberFormat="1" applyFont="1" applyFill="1" applyBorder="1"/>
    <xf numFmtId="167" fontId="23" fillId="6" borderId="4" xfId="1" applyNumberFormat="1" applyFont="1" applyFill="1" applyBorder="1" applyAlignment="1">
      <alignment horizontal="left" vertical="justify"/>
    </xf>
    <xf numFmtId="0" fontId="23" fillId="0" borderId="1" xfId="0" applyFont="1" applyFill="1" applyBorder="1" applyAlignment="1">
      <alignment vertical="center"/>
    </xf>
    <xf numFmtId="170" fontId="25" fillId="0" borderId="1" xfId="0" applyNumberFormat="1" applyFont="1" applyFill="1" applyBorder="1" applyAlignment="1">
      <alignment horizontal="center"/>
    </xf>
    <xf numFmtId="168" fontId="25" fillId="0" borderId="1" xfId="188" applyNumberFormat="1" applyFont="1" applyFill="1" applyBorder="1" applyAlignment="1">
      <alignment horizontal="center"/>
    </xf>
    <xf numFmtId="164" fontId="25" fillId="0" borderId="1" xfId="2" applyFont="1" applyFill="1" applyBorder="1" applyAlignment="1">
      <alignment horizontal="center"/>
    </xf>
    <xf numFmtId="10" fontId="0" fillId="0" borderId="1" xfId="0" applyNumberFormat="1" applyBorder="1"/>
    <xf numFmtId="170" fontId="25" fillId="0" borderId="1" xfId="2" applyNumberFormat="1" applyFont="1" applyFill="1" applyBorder="1" applyAlignment="1">
      <alignment horizontal="center"/>
    </xf>
    <xf numFmtId="0" fontId="22" fillId="0" borderId="0" xfId="0" applyFont="1"/>
    <xf numFmtId="164" fontId="22" fillId="0" borderId="0" xfId="0" applyNumberFormat="1" applyFont="1"/>
    <xf numFmtId="168" fontId="32" fillId="0" borderId="1" xfId="1" applyNumberFormat="1" applyFont="1" applyBorder="1" applyAlignment="1">
      <alignment horizontal="center"/>
    </xf>
    <xf numFmtId="164" fontId="25" fillId="0" borderId="4" xfId="2" applyFont="1" applyBorder="1" applyAlignment="1">
      <alignment vertical="center"/>
    </xf>
    <xf numFmtId="167" fontId="23" fillId="6" borderId="4" xfId="1" applyNumberFormat="1" applyFont="1" applyFill="1" applyBorder="1" applyAlignment="1">
      <alignment horizontal="left" vertical="justify"/>
    </xf>
    <xf numFmtId="168" fontId="32" fillId="0" borderId="1" xfId="1" applyNumberFormat="1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164" fontId="24" fillId="0" borderId="4" xfId="2" applyFont="1" applyBorder="1"/>
    <xf numFmtId="164" fontId="24" fillId="0" borderId="1" xfId="0" applyNumberFormat="1" applyFont="1" applyBorder="1"/>
    <xf numFmtId="164" fontId="24" fillId="0" borderId="1" xfId="0" applyNumberFormat="1" applyFont="1" applyFill="1" applyBorder="1"/>
    <xf numFmtId="164" fontId="24" fillId="12" borderId="1" xfId="2" applyFont="1" applyFill="1" applyBorder="1"/>
    <xf numFmtId="164" fontId="24" fillId="12" borderId="1" xfId="0" applyNumberFormat="1" applyFont="1" applyFill="1" applyBorder="1"/>
    <xf numFmtId="164" fontId="24" fillId="4" borderId="1" xfId="2" applyFont="1" applyFill="1" applyBorder="1"/>
    <xf numFmtId="41" fontId="29" fillId="0" borderId="2" xfId="1" applyNumberFormat="1" applyFont="1" applyBorder="1" applyAlignment="1">
      <alignment vertical="center"/>
    </xf>
    <xf numFmtId="167" fontId="23" fillId="6" borderId="4" xfId="1" applyNumberFormat="1" applyFont="1" applyFill="1" applyBorder="1" applyAlignment="1">
      <alignment horizontal="left" vertical="justify"/>
    </xf>
    <xf numFmtId="168" fontId="32" fillId="0" borderId="1" xfId="1" applyNumberFormat="1" applyFont="1" applyBorder="1" applyAlignment="1">
      <alignment horizontal="center"/>
    </xf>
    <xf numFmtId="164" fontId="29" fillId="13" borderId="1" xfId="2" applyFont="1" applyFill="1" applyBorder="1"/>
    <xf numFmtId="164" fontId="29" fillId="13" borderId="1" xfId="0" applyNumberFormat="1" applyFont="1" applyFill="1" applyBorder="1"/>
    <xf numFmtId="41" fontId="25" fillId="11" borderId="1" xfId="1" applyNumberFormat="1" applyFont="1" applyFill="1" applyBorder="1" applyAlignment="1">
      <alignment vertical="center"/>
    </xf>
    <xf numFmtId="0" fontId="24" fillId="0" borderId="4" xfId="0" applyFont="1" applyBorder="1" applyAlignment="1"/>
    <xf numFmtId="0" fontId="24" fillId="0" borderId="1" xfId="0" applyFont="1" applyBorder="1" applyAlignment="1">
      <alignment horizontal="center"/>
    </xf>
    <xf numFmtId="164" fontId="24" fillId="0" borderId="1" xfId="2" applyFont="1" applyBorder="1" applyAlignment="1">
      <alignment horizontal="center"/>
    </xf>
    <xf numFmtId="164" fontId="23" fillId="0" borderId="3" xfId="2" applyFont="1" applyBorder="1"/>
    <xf numFmtId="0" fontId="24" fillId="0" borderId="8" xfId="0" applyFont="1" applyBorder="1"/>
    <xf numFmtId="164" fontId="24" fillId="0" borderId="8" xfId="2" applyFont="1" applyBorder="1"/>
    <xf numFmtId="164" fontId="25" fillId="11" borderId="1" xfId="2" applyFont="1" applyFill="1" applyBorder="1"/>
    <xf numFmtId="167" fontId="23" fillId="6" borderId="4" xfId="1" applyNumberFormat="1" applyFont="1" applyFill="1" applyBorder="1" applyAlignment="1">
      <alignment horizontal="left" vertical="justify"/>
    </xf>
    <xf numFmtId="168" fontId="32" fillId="0" borderId="1" xfId="1" applyNumberFormat="1" applyFont="1" applyBorder="1" applyAlignment="1">
      <alignment horizontal="center"/>
    </xf>
    <xf numFmtId="164" fontId="25" fillId="0" borderId="0" xfId="2" applyFont="1" applyBorder="1"/>
    <xf numFmtId="41" fontId="24" fillId="0" borderId="0" xfId="0" applyNumberFormat="1" applyFont="1" applyBorder="1"/>
    <xf numFmtId="41" fontId="25" fillId="0" borderId="0" xfId="1" applyNumberFormat="1" applyFont="1" applyBorder="1" applyAlignment="1">
      <alignment vertical="center"/>
    </xf>
    <xf numFmtId="164" fontId="25" fillId="0" borderId="0" xfId="0" applyNumberFormat="1" applyFont="1" applyBorder="1"/>
    <xf numFmtId="164" fontId="24" fillId="0" borderId="0" xfId="0" applyNumberFormat="1" applyFont="1" applyBorder="1"/>
    <xf numFmtId="41" fontId="25" fillId="0" borderId="0" xfId="0" applyNumberFormat="1" applyFont="1" applyBorder="1"/>
    <xf numFmtId="0" fontId="23" fillId="0" borderId="0" xfId="0" applyFont="1" applyAlignment="1"/>
    <xf numFmtId="14" fontId="23" fillId="0" borderId="9" xfId="0" applyNumberFormat="1" applyFont="1" applyBorder="1" applyAlignment="1"/>
    <xf numFmtId="168" fontId="32" fillId="0" borderId="2" xfId="1" applyNumberFormat="1" applyFont="1" applyBorder="1" applyAlignment="1"/>
    <xf numFmtId="168" fontId="32" fillId="0" borderId="3" xfId="1" applyNumberFormat="1" applyFont="1" applyBorder="1" applyAlignment="1"/>
    <xf numFmtId="168" fontId="32" fillId="0" borderId="4" xfId="1" applyNumberFormat="1" applyFont="1" applyBorder="1" applyAlignment="1"/>
    <xf numFmtId="168" fontId="23" fillId="0" borderId="1" xfId="0" applyNumberFormat="1" applyFont="1" applyBorder="1"/>
    <xf numFmtId="167" fontId="23" fillId="6" borderId="4" xfId="1" applyNumberFormat="1" applyFont="1" applyFill="1" applyBorder="1" applyAlignment="1">
      <alignment horizontal="left" vertical="justify"/>
    </xf>
    <xf numFmtId="168" fontId="32" fillId="0" borderId="1" xfId="1" applyNumberFormat="1" applyFont="1" applyBorder="1" applyAlignment="1">
      <alignment horizontal="center"/>
    </xf>
    <xf numFmtId="41" fontId="25" fillId="0" borderId="2" xfId="1" applyNumberFormat="1" applyFont="1" applyFill="1" applyBorder="1" applyAlignment="1">
      <alignment vertical="center"/>
    </xf>
    <xf numFmtId="41" fontId="29" fillId="0" borderId="2" xfId="1" applyNumberFormat="1" applyFont="1" applyFill="1" applyBorder="1" applyAlignment="1">
      <alignment vertical="center"/>
    </xf>
    <xf numFmtId="41" fontId="25" fillId="0" borderId="4" xfId="1" applyNumberFormat="1" applyFont="1" applyFill="1" applyBorder="1" applyAlignment="1">
      <alignment vertical="center"/>
    </xf>
    <xf numFmtId="164" fontId="25" fillId="0" borderId="2" xfId="2" applyFont="1" applyFill="1" applyBorder="1" applyAlignment="1">
      <alignment vertical="center"/>
    </xf>
    <xf numFmtId="164" fontId="25" fillId="0" borderId="4" xfId="2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14" fontId="23" fillId="0" borderId="9" xfId="0" applyNumberFormat="1" applyFont="1" applyBorder="1" applyAlignment="1">
      <alignment horizontal="center"/>
    </xf>
    <xf numFmtId="164" fontId="24" fillId="0" borderId="1" xfId="2" applyFont="1" applyBorder="1" applyAlignment="1">
      <alignment wrapText="1"/>
    </xf>
    <xf numFmtId="164" fontId="24" fillId="0" borderId="1" xfId="2" applyFont="1" applyBorder="1" applyAlignment="1">
      <alignment vertical="center"/>
    </xf>
    <xf numFmtId="167" fontId="23" fillId="6" borderId="4" xfId="1" applyNumberFormat="1" applyFont="1" applyFill="1" applyBorder="1" applyAlignment="1">
      <alignment horizontal="left" vertical="justify"/>
    </xf>
    <xf numFmtId="0" fontId="23" fillId="0" borderId="0" xfId="0" applyFont="1" applyAlignment="1">
      <alignment horizontal="center"/>
    </xf>
    <xf numFmtId="168" fontId="32" fillId="0" borderId="1" xfId="1" applyNumberFormat="1" applyFont="1" applyBorder="1" applyAlignment="1">
      <alignment horizontal="center"/>
    </xf>
    <xf numFmtId="14" fontId="23" fillId="0" borderId="9" xfId="0" applyNumberFormat="1" applyFont="1" applyBorder="1" applyAlignment="1">
      <alignment horizontal="center"/>
    </xf>
    <xf numFmtId="41" fontId="25" fillId="14" borderId="1" xfId="1" applyNumberFormat="1" applyFont="1" applyFill="1" applyBorder="1" applyAlignment="1">
      <alignment vertical="center"/>
    </xf>
    <xf numFmtId="41" fontId="25" fillId="14" borderId="4" xfId="1" applyNumberFormat="1" applyFont="1" applyFill="1" applyBorder="1" applyAlignment="1">
      <alignment vertical="center"/>
    </xf>
    <xf numFmtId="164" fontId="0" fillId="0" borderId="1" xfId="0" applyNumberFormat="1" applyBorder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164" fontId="22" fillId="0" borderId="0" xfId="2" applyFont="1"/>
    <xf numFmtId="167" fontId="23" fillId="6" borderId="4" xfId="1" applyNumberFormat="1" applyFont="1" applyFill="1" applyBorder="1" applyAlignment="1">
      <alignment horizontal="left" vertical="justify"/>
    </xf>
    <xf numFmtId="168" fontId="32" fillId="0" borderId="1" xfId="1" applyNumberFormat="1" applyFont="1" applyBorder="1" applyAlignment="1">
      <alignment horizontal="center"/>
    </xf>
    <xf numFmtId="164" fontId="29" fillId="15" borderId="1" xfId="0" applyNumberFormat="1" applyFont="1" applyFill="1" applyBorder="1"/>
    <xf numFmtId="164" fontId="29" fillId="15" borderId="1" xfId="2" applyFont="1" applyFill="1" applyBorder="1"/>
    <xf numFmtId="168" fontId="24" fillId="0" borderId="1" xfId="0" applyNumberFormat="1" applyFont="1" applyBorder="1" applyAlignment="1">
      <alignment horizontal="left"/>
    </xf>
    <xf numFmtId="168" fontId="31" fillId="0" borderId="1" xfId="1" applyNumberFormat="1" applyFont="1" applyBorder="1" applyAlignment="1">
      <alignment horizontal="left"/>
    </xf>
    <xf numFmtId="167" fontId="23" fillId="6" borderId="4" xfId="1" applyNumberFormat="1" applyFont="1" applyFill="1" applyBorder="1" applyAlignment="1">
      <alignment horizontal="left" vertical="justify"/>
    </xf>
    <xf numFmtId="168" fontId="32" fillId="0" borderId="1" xfId="1" applyNumberFormat="1" applyFont="1" applyBorder="1" applyAlignment="1">
      <alignment horizontal="center"/>
    </xf>
    <xf numFmtId="164" fontId="25" fillId="15" borderId="1" xfId="2" applyFont="1" applyFill="1" applyBorder="1"/>
    <xf numFmtId="167" fontId="23" fillId="6" borderId="4" xfId="1" applyNumberFormat="1" applyFont="1" applyFill="1" applyBorder="1" applyAlignment="1">
      <alignment horizontal="left" vertical="justify"/>
    </xf>
    <xf numFmtId="168" fontId="32" fillId="0" borderId="1" xfId="1" applyNumberFormat="1" applyFont="1" applyBorder="1" applyAlignment="1">
      <alignment horizontal="center"/>
    </xf>
    <xf numFmtId="164" fontId="25" fillId="15" borderId="1" xfId="0" applyNumberFormat="1" applyFont="1" applyFill="1" applyBorder="1"/>
    <xf numFmtId="167" fontId="23" fillId="6" borderId="4" xfId="1" applyNumberFormat="1" applyFont="1" applyFill="1" applyBorder="1" applyAlignment="1">
      <alignment horizontal="left" vertical="justify"/>
    </xf>
    <xf numFmtId="168" fontId="32" fillId="0" borderId="1" xfId="1" applyNumberFormat="1" applyFont="1" applyBorder="1" applyAlignment="1">
      <alignment horizontal="center"/>
    </xf>
    <xf numFmtId="168" fontId="32" fillId="0" borderId="1" xfId="1" applyNumberFormat="1" applyFont="1" applyBorder="1" applyAlignment="1">
      <alignment horizontal="center"/>
    </xf>
    <xf numFmtId="164" fontId="23" fillId="0" borderId="1" xfId="2" applyFont="1" applyBorder="1" applyAlignment="1">
      <alignment horizontal="center"/>
    </xf>
    <xf numFmtId="0" fontId="23" fillId="0" borderId="9" xfId="0" applyFont="1" applyBorder="1" applyAlignment="1"/>
    <xf numFmtId="168" fontId="31" fillId="0" borderId="2" xfId="1" applyNumberFormat="1" applyFont="1" applyBorder="1"/>
    <xf numFmtId="164" fontId="23" fillId="0" borderId="0" xfId="2" applyFont="1" applyBorder="1" applyAlignment="1">
      <alignment horizontal="center"/>
    </xf>
    <xf numFmtId="164" fontId="23" fillId="0" borderId="0" xfId="2" applyFont="1" applyBorder="1"/>
    <xf numFmtId="0" fontId="36" fillId="0" borderId="0" xfId="0" applyFont="1" applyAlignment="1">
      <alignment horizontal="center"/>
    </xf>
    <xf numFmtId="167" fontId="23" fillId="6" borderId="4" xfId="1" applyNumberFormat="1" applyFont="1" applyFill="1" applyBorder="1" applyAlignment="1">
      <alignment horizontal="left" vertical="justify"/>
    </xf>
    <xf numFmtId="0" fontId="23" fillId="0" borderId="1" xfId="0" applyFont="1" applyBorder="1" applyAlignment="1">
      <alignment horizontal="center"/>
    </xf>
    <xf numFmtId="168" fontId="32" fillId="0" borderId="1" xfId="1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164" fontId="23" fillId="0" borderId="1" xfId="2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164" fontId="23" fillId="0" borderId="1" xfId="2" applyFont="1" applyBorder="1" applyAlignment="1">
      <alignment horizontal="center"/>
    </xf>
    <xf numFmtId="168" fontId="32" fillId="0" borderId="0" xfId="1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168" fontId="31" fillId="0" borderId="1" xfId="1" applyNumberFormat="1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164" fontId="24" fillId="0" borderId="1" xfId="2" applyFont="1" applyBorder="1" applyAlignment="1">
      <alignment horizontal="left"/>
    </xf>
    <xf numFmtId="164" fontId="31" fillId="0" borderId="1" xfId="2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164" fontId="23" fillId="0" borderId="1" xfId="2" applyFont="1" applyBorder="1" applyAlignment="1">
      <alignment horizontal="center"/>
    </xf>
    <xf numFmtId="170" fontId="37" fillId="0" borderId="1" xfId="0" applyNumberFormat="1" applyFont="1" applyFill="1" applyBorder="1" applyAlignment="1">
      <alignment horizontal="center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0" fontId="23" fillId="0" borderId="1" xfId="0" applyFont="1" applyBorder="1" applyAlignment="1">
      <alignment horizontal="center"/>
    </xf>
    <xf numFmtId="164" fontId="23" fillId="0" borderId="1" xfId="2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164" fontId="23" fillId="0" borderId="1" xfId="2" applyFont="1" applyBorder="1" applyAlignment="1">
      <alignment horizontal="center"/>
    </xf>
    <xf numFmtId="164" fontId="25" fillId="4" borderId="1" xfId="2" applyFont="1" applyFill="1" applyBorder="1"/>
    <xf numFmtId="164" fontId="25" fillId="10" borderId="1" xfId="2" applyFont="1" applyFill="1" applyBorder="1" applyAlignment="1">
      <alignment horizontal="center"/>
    </xf>
    <xf numFmtId="164" fontId="25" fillId="13" borderId="1" xfId="2" applyFont="1" applyFill="1" applyBorder="1" applyAlignment="1">
      <alignment horizontal="center"/>
    </xf>
    <xf numFmtId="164" fontId="25" fillId="47" borderId="1" xfId="2" applyFont="1" applyFill="1" applyBorder="1" applyAlignment="1">
      <alignment horizontal="center"/>
    </xf>
    <xf numFmtId="170" fontId="25" fillId="0" borderId="7" xfId="193" applyNumberFormat="1" applyFont="1" applyFill="1" applyBorder="1" applyAlignment="1">
      <alignment horizontal="center"/>
    </xf>
    <xf numFmtId="170" fontId="17" fillId="48" borderId="1" xfId="189" applyNumberFormat="1" applyFont="1" applyFill="1" applyBorder="1" applyAlignment="1">
      <alignment horizontal="center"/>
    </xf>
    <xf numFmtId="3" fontId="17" fillId="48" borderId="1" xfId="189" applyNumberFormat="1" applyFont="1" applyFill="1" applyBorder="1" applyAlignment="1" applyProtection="1">
      <alignment horizontal="right"/>
      <protection locked="0"/>
    </xf>
    <xf numFmtId="0" fontId="23" fillId="0" borderId="2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164" fontId="23" fillId="0" borderId="1" xfId="2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164" fontId="23" fillId="0" borderId="1" xfId="2" applyFont="1" applyBorder="1" applyAlignment="1">
      <alignment horizontal="center"/>
    </xf>
    <xf numFmtId="167" fontId="3" fillId="6" borderId="2" xfId="1" applyNumberFormat="1" applyFont="1" applyFill="1" applyBorder="1" applyAlignment="1">
      <alignment horizontal="left" vertical="justify"/>
    </xf>
    <xf numFmtId="167" fontId="3" fillId="6" borderId="3" xfId="1" applyNumberFormat="1" applyFont="1" applyFill="1" applyBorder="1" applyAlignment="1">
      <alignment horizontal="left" vertical="justify"/>
    </xf>
    <xf numFmtId="167" fontId="3" fillId="6" borderId="4" xfId="1" applyNumberFormat="1" applyFont="1" applyFill="1" applyBorder="1" applyAlignment="1">
      <alignment horizontal="left" vertical="justify"/>
    </xf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167" fontId="23" fillId="6" borderId="2" xfId="1" applyNumberFormat="1" applyFont="1" applyFill="1" applyBorder="1" applyAlignment="1">
      <alignment horizontal="left" vertical="justify"/>
    </xf>
    <xf numFmtId="167" fontId="23" fillId="6" borderId="3" xfId="1" applyNumberFormat="1" applyFont="1" applyFill="1" applyBorder="1" applyAlignment="1">
      <alignment horizontal="left" vertical="justify"/>
    </xf>
    <xf numFmtId="167" fontId="23" fillId="6" borderId="4" xfId="1" applyNumberFormat="1" applyFont="1" applyFill="1" applyBorder="1" applyAlignment="1">
      <alignment horizontal="left" vertical="justify"/>
    </xf>
    <xf numFmtId="0" fontId="23" fillId="6" borderId="5" xfId="0" applyFont="1" applyFill="1" applyBorder="1" applyAlignment="1">
      <alignment horizontal="center"/>
    </xf>
    <xf numFmtId="0" fontId="23" fillId="6" borderId="6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168" fontId="32" fillId="0" borderId="1" xfId="1" applyNumberFormat="1" applyFont="1" applyBorder="1" applyAlignment="1">
      <alignment horizontal="center"/>
    </xf>
    <xf numFmtId="14" fontId="23" fillId="0" borderId="0" xfId="0" applyNumberFormat="1" applyFont="1" applyAlignment="1">
      <alignment horizontal="center"/>
    </xf>
    <xf numFmtId="0" fontId="23" fillId="0" borderId="9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164" fontId="23" fillId="0" borderId="0" xfId="2" applyFont="1" applyAlignment="1">
      <alignment horizontal="center"/>
    </xf>
    <xf numFmtId="14" fontId="23" fillId="0" borderId="9" xfId="0" applyNumberFormat="1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164" fontId="23" fillId="0" borderId="2" xfId="2" applyFont="1" applyBorder="1" applyAlignment="1">
      <alignment horizontal="center"/>
    </xf>
    <xf numFmtId="164" fontId="23" fillId="0" borderId="4" xfId="2" applyFont="1" applyBorder="1" applyAlignment="1">
      <alignment horizontal="center"/>
    </xf>
    <xf numFmtId="164" fontId="23" fillId="0" borderId="1" xfId="2" applyFont="1" applyBorder="1" applyAlignment="1">
      <alignment horizontal="center"/>
    </xf>
    <xf numFmtId="164" fontId="29" fillId="0" borderId="1" xfId="2" applyFont="1" applyFill="1" applyBorder="1" applyAlignment="1">
      <alignment vertical="center"/>
    </xf>
    <xf numFmtId="0" fontId="23" fillId="0" borderId="1" xfId="0" applyFont="1" applyBorder="1" applyAlignment="1"/>
    <xf numFmtId="164" fontId="24" fillId="0" borderId="0" xfId="2" applyFont="1" applyBorder="1" applyAlignment="1">
      <alignment horizontal="center"/>
    </xf>
  </cellXfs>
  <cellStyles count="1896">
    <cellStyle name="20% - Accent1 10" xfId="336"/>
    <cellStyle name="20% - Accent1 11" xfId="337"/>
    <cellStyle name="20% - Accent1 12" xfId="338"/>
    <cellStyle name="20% - Accent1 13" xfId="339"/>
    <cellStyle name="20% - Accent1 14" xfId="340"/>
    <cellStyle name="20% - Accent1 15" xfId="341"/>
    <cellStyle name="20% - Accent1 16" xfId="342"/>
    <cellStyle name="20% - Accent1 17" xfId="343"/>
    <cellStyle name="20% - Accent1 18" xfId="344"/>
    <cellStyle name="20% - Accent1 2" xfId="345"/>
    <cellStyle name="20% - Accent1 3" xfId="346"/>
    <cellStyle name="20% - Accent1 4" xfId="347"/>
    <cellStyle name="20% - Accent1 5" xfId="348"/>
    <cellStyle name="20% - Accent1 6" xfId="349"/>
    <cellStyle name="20% - Accent1 7" xfId="350"/>
    <cellStyle name="20% - Accent1 8" xfId="351"/>
    <cellStyle name="20% - Accent1 9" xfId="352"/>
    <cellStyle name="20% - Accent2 10" xfId="353"/>
    <cellStyle name="20% - Accent2 11" xfId="354"/>
    <cellStyle name="20% - Accent2 12" xfId="355"/>
    <cellStyle name="20% - Accent2 13" xfId="356"/>
    <cellStyle name="20% - Accent2 14" xfId="357"/>
    <cellStyle name="20% - Accent2 15" xfId="358"/>
    <cellStyle name="20% - Accent2 16" xfId="359"/>
    <cellStyle name="20% - Accent2 17" xfId="360"/>
    <cellStyle name="20% - Accent2 18" xfId="361"/>
    <cellStyle name="20% - Accent2 2" xfId="362"/>
    <cellStyle name="20% - Accent2 3" xfId="363"/>
    <cellStyle name="20% - Accent2 4" xfId="364"/>
    <cellStyle name="20% - Accent2 5" xfId="365"/>
    <cellStyle name="20% - Accent2 6" xfId="366"/>
    <cellStyle name="20% - Accent2 7" xfId="367"/>
    <cellStyle name="20% - Accent2 8" xfId="368"/>
    <cellStyle name="20% - Accent2 9" xfId="369"/>
    <cellStyle name="20% - Accent3 10" xfId="370"/>
    <cellStyle name="20% - Accent3 11" xfId="371"/>
    <cellStyle name="20% - Accent3 12" xfId="372"/>
    <cellStyle name="20% - Accent3 13" xfId="373"/>
    <cellStyle name="20% - Accent3 14" xfId="374"/>
    <cellStyle name="20% - Accent3 15" xfId="375"/>
    <cellStyle name="20% - Accent3 16" xfId="376"/>
    <cellStyle name="20% - Accent3 17" xfId="377"/>
    <cellStyle name="20% - Accent3 18" xfId="378"/>
    <cellStyle name="20% - Accent3 2" xfId="379"/>
    <cellStyle name="20% - Accent3 3" xfId="380"/>
    <cellStyle name="20% - Accent3 4" xfId="381"/>
    <cellStyle name="20% - Accent3 5" xfId="382"/>
    <cellStyle name="20% - Accent3 6" xfId="383"/>
    <cellStyle name="20% - Accent3 7" xfId="384"/>
    <cellStyle name="20% - Accent3 8" xfId="385"/>
    <cellStyle name="20% - Accent3 9" xfId="386"/>
    <cellStyle name="20% - Accent4 10" xfId="387"/>
    <cellStyle name="20% - Accent4 11" xfId="388"/>
    <cellStyle name="20% - Accent4 12" xfId="389"/>
    <cellStyle name="20% - Accent4 13" xfId="390"/>
    <cellStyle name="20% - Accent4 14" xfId="391"/>
    <cellStyle name="20% - Accent4 15" xfId="392"/>
    <cellStyle name="20% - Accent4 16" xfId="393"/>
    <cellStyle name="20% - Accent4 17" xfId="394"/>
    <cellStyle name="20% - Accent4 18" xfId="395"/>
    <cellStyle name="20% - Accent4 2" xfId="396"/>
    <cellStyle name="20% - Accent4 3" xfId="397"/>
    <cellStyle name="20% - Accent4 4" xfId="398"/>
    <cellStyle name="20% - Accent4 5" xfId="399"/>
    <cellStyle name="20% - Accent4 6" xfId="400"/>
    <cellStyle name="20% - Accent4 7" xfId="401"/>
    <cellStyle name="20% - Accent4 8" xfId="402"/>
    <cellStyle name="20% - Accent4 9" xfId="403"/>
    <cellStyle name="20% - Accent5 10" xfId="404"/>
    <cellStyle name="20% - Accent5 11" xfId="405"/>
    <cellStyle name="20% - Accent5 12" xfId="406"/>
    <cellStyle name="20% - Accent5 13" xfId="407"/>
    <cellStyle name="20% - Accent5 14" xfId="408"/>
    <cellStyle name="20% - Accent5 15" xfId="409"/>
    <cellStyle name="20% - Accent5 16" xfId="410"/>
    <cellStyle name="20% - Accent5 17" xfId="411"/>
    <cellStyle name="20% - Accent5 18" xfId="412"/>
    <cellStyle name="20% - Accent5 2" xfId="413"/>
    <cellStyle name="20% - Accent5 3" xfId="414"/>
    <cellStyle name="20% - Accent5 4" xfId="415"/>
    <cellStyle name="20% - Accent5 5" xfId="416"/>
    <cellStyle name="20% - Accent5 6" xfId="417"/>
    <cellStyle name="20% - Accent5 7" xfId="418"/>
    <cellStyle name="20% - Accent5 8" xfId="419"/>
    <cellStyle name="20% - Accent5 9" xfId="420"/>
    <cellStyle name="20% - Accent6 10" xfId="421"/>
    <cellStyle name="20% - Accent6 11" xfId="422"/>
    <cellStyle name="20% - Accent6 12" xfId="423"/>
    <cellStyle name="20% - Accent6 13" xfId="424"/>
    <cellStyle name="20% - Accent6 14" xfId="425"/>
    <cellStyle name="20% - Accent6 15" xfId="426"/>
    <cellStyle name="20% - Accent6 16" xfId="427"/>
    <cellStyle name="20% - Accent6 17" xfId="428"/>
    <cellStyle name="20% - Accent6 18" xfId="429"/>
    <cellStyle name="20% - Accent6 2" xfId="430"/>
    <cellStyle name="20% - Accent6 3" xfId="431"/>
    <cellStyle name="20% - Accent6 4" xfId="432"/>
    <cellStyle name="20% - Accent6 5" xfId="433"/>
    <cellStyle name="20% - Accent6 6" xfId="434"/>
    <cellStyle name="20% - Accent6 7" xfId="435"/>
    <cellStyle name="20% - Accent6 8" xfId="436"/>
    <cellStyle name="20% - Accent6 9" xfId="437"/>
    <cellStyle name="40% - Accent1 10" xfId="438"/>
    <cellStyle name="40% - Accent1 11" xfId="439"/>
    <cellStyle name="40% - Accent1 12" xfId="440"/>
    <cellStyle name="40% - Accent1 13" xfId="441"/>
    <cellStyle name="40% - Accent1 14" xfId="442"/>
    <cellStyle name="40% - Accent1 15" xfId="443"/>
    <cellStyle name="40% - Accent1 16" xfId="444"/>
    <cellStyle name="40% - Accent1 17" xfId="445"/>
    <cellStyle name="40% - Accent1 18" xfId="446"/>
    <cellStyle name="40% - Accent1 2" xfId="447"/>
    <cellStyle name="40% - Accent1 3" xfId="448"/>
    <cellStyle name="40% - Accent1 4" xfId="449"/>
    <cellStyle name="40% - Accent1 5" xfId="450"/>
    <cellStyle name="40% - Accent1 6" xfId="451"/>
    <cellStyle name="40% - Accent1 7" xfId="452"/>
    <cellStyle name="40% - Accent1 8" xfId="453"/>
    <cellStyle name="40% - Accent1 9" xfId="454"/>
    <cellStyle name="40% - Accent2 10" xfId="455"/>
    <cellStyle name="40% - Accent2 11" xfId="456"/>
    <cellStyle name="40% - Accent2 12" xfId="457"/>
    <cellStyle name="40% - Accent2 13" xfId="458"/>
    <cellStyle name="40% - Accent2 14" xfId="459"/>
    <cellStyle name="40% - Accent2 15" xfId="460"/>
    <cellStyle name="40% - Accent2 16" xfId="461"/>
    <cellStyle name="40% - Accent2 17" xfId="462"/>
    <cellStyle name="40% - Accent2 18" xfId="463"/>
    <cellStyle name="40% - Accent2 2" xfId="464"/>
    <cellStyle name="40% - Accent2 3" xfId="465"/>
    <cellStyle name="40% - Accent2 4" xfId="466"/>
    <cellStyle name="40% - Accent2 5" xfId="467"/>
    <cellStyle name="40% - Accent2 6" xfId="468"/>
    <cellStyle name="40% - Accent2 7" xfId="469"/>
    <cellStyle name="40% - Accent2 8" xfId="470"/>
    <cellStyle name="40% - Accent2 9" xfId="471"/>
    <cellStyle name="40% - Accent3 10" xfId="472"/>
    <cellStyle name="40% - Accent3 11" xfId="473"/>
    <cellStyle name="40% - Accent3 12" xfId="474"/>
    <cellStyle name="40% - Accent3 13" xfId="475"/>
    <cellStyle name="40% - Accent3 14" xfId="476"/>
    <cellStyle name="40% - Accent3 15" xfId="477"/>
    <cellStyle name="40% - Accent3 16" xfId="478"/>
    <cellStyle name="40% - Accent3 17" xfId="479"/>
    <cellStyle name="40% - Accent3 18" xfId="480"/>
    <cellStyle name="40% - Accent3 2" xfId="481"/>
    <cellStyle name="40% - Accent3 3" xfId="482"/>
    <cellStyle name="40% - Accent3 4" xfId="483"/>
    <cellStyle name="40% - Accent3 5" xfId="484"/>
    <cellStyle name="40% - Accent3 6" xfId="485"/>
    <cellStyle name="40% - Accent3 7" xfId="486"/>
    <cellStyle name="40% - Accent3 8" xfId="487"/>
    <cellStyle name="40% - Accent3 9" xfId="488"/>
    <cellStyle name="40% - Accent4 10" xfId="489"/>
    <cellStyle name="40% - Accent4 11" xfId="490"/>
    <cellStyle name="40% - Accent4 12" xfId="491"/>
    <cellStyle name="40% - Accent4 13" xfId="492"/>
    <cellStyle name="40% - Accent4 14" xfId="493"/>
    <cellStyle name="40% - Accent4 15" xfId="494"/>
    <cellStyle name="40% - Accent4 16" xfId="495"/>
    <cellStyle name="40% - Accent4 17" xfId="496"/>
    <cellStyle name="40% - Accent4 18" xfId="497"/>
    <cellStyle name="40% - Accent4 2" xfId="498"/>
    <cellStyle name="40% - Accent4 3" xfId="499"/>
    <cellStyle name="40% - Accent4 4" xfId="500"/>
    <cellStyle name="40% - Accent4 5" xfId="501"/>
    <cellStyle name="40% - Accent4 6" xfId="502"/>
    <cellStyle name="40% - Accent4 7" xfId="503"/>
    <cellStyle name="40% - Accent4 8" xfId="504"/>
    <cellStyle name="40% - Accent4 9" xfId="505"/>
    <cellStyle name="40% - Accent5 10" xfId="506"/>
    <cellStyle name="40% - Accent5 11" xfId="507"/>
    <cellStyle name="40% - Accent5 12" xfId="508"/>
    <cellStyle name="40% - Accent5 13" xfId="509"/>
    <cellStyle name="40% - Accent5 14" xfId="510"/>
    <cellStyle name="40% - Accent5 15" xfId="511"/>
    <cellStyle name="40% - Accent5 16" xfId="512"/>
    <cellStyle name="40% - Accent5 17" xfId="513"/>
    <cellStyle name="40% - Accent5 18" xfId="514"/>
    <cellStyle name="40% - Accent5 2" xfId="515"/>
    <cellStyle name="40% - Accent5 3" xfId="516"/>
    <cellStyle name="40% - Accent5 4" xfId="517"/>
    <cellStyle name="40% - Accent5 5" xfId="518"/>
    <cellStyle name="40% - Accent5 6" xfId="519"/>
    <cellStyle name="40% - Accent5 7" xfId="520"/>
    <cellStyle name="40% - Accent5 8" xfId="521"/>
    <cellStyle name="40% - Accent5 9" xfId="522"/>
    <cellStyle name="40% - Accent6 10" xfId="523"/>
    <cellStyle name="40% - Accent6 11" xfId="524"/>
    <cellStyle name="40% - Accent6 12" xfId="525"/>
    <cellStyle name="40% - Accent6 13" xfId="526"/>
    <cellStyle name="40% - Accent6 14" xfId="527"/>
    <cellStyle name="40% - Accent6 15" xfId="528"/>
    <cellStyle name="40% - Accent6 16" xfId="529"/>
    <cellStyle name="40% - Accent6 17" xfId="530"/>
    <cellStyle name="40% - Accent6 18" xfId="531"/>
    <cellStyle name="40% - Accent6 2" xfId="532"/>
    <cellStyle name="40% - Accent6 3" xfId="533"/>
    <cellStyle name="40% - Accent6 4" xfId="534"/>
    <cellStyle name="40% - Accent6 5" xfId="535"/>
    <cellStyle name="40% - Accent6 6" xfId="536"/>
    <cellStyle name="40% - Accent6 7" xfId="537"/>
    <cellStyle name="40% - Accent6 8" xfId="538"/>
    <cellStyle name="40% - Accent6 9" xfId="539"/>
    <cellStyle name="60% - Accent1 10" xfId="540"/>
    <cellStyle name="60% - Accent1 11" xfId="541"/>
    <cellStyle name="60% - Accent1 12" xfId="542"/>
    <cellStyle name="60% - Accent1 13" xfId="543"/>
    <cellStyle name="60% - Accent1 14" xfId="544"/>
    <cellStyle name="60% - Accent1 15" xfId="545"/>
    <cellStyle name="60% - Accent1 16" xfId="546"/>
    <cellStyle name="60% - Accent1 17" xfId="547"/>
    <cellStyle name="60% - Accent1 18" xfId="548"/>
    <cellStyle name="60% - Accent1 2" xfId="549"/>
    <cellStyle name="60% - Accent1 3" xfId="550"/>
    <cellStyle name="60% - Accent1 4" xfId="551"/>
    <cellStyle name="60% - Accent1 5" xfId="552"/>
    <cellStyle name="60% - Accent1 6" xfId="553"/>
    <cellStyle name="60% - Accent1 7" xfId="554"/>
    <cellStyle name="60% - Accent1 8" xfId="555"/>
    <cellStyle name="60% - Accent1 9" xfId="556"/>
    <cellStyle name="60% - Accent2 10" xfId="557"/>
    <cellStyle name="60% - Accent2 11" xfId="558"/>
    <cellStyle name="60% - Accent2 12" xfId="559"/>
    <cellStyle name="60% - Accent2 13" xfId="560"/>
    <cellStyle name="60% - Accent2 14" xfId="561"/>
    <cellStyle name="60% - Accent2 15" xfId="562"/>
    <cellStyle name="60% - Accent2 16" xfId="563"/>
    <cellStyle name="60% - Accent2 17" xfId="564"/>
    <cellStyle name="60% - Accent2 18" xfId="565"/>
    <cellStyle name="60% - Accent2 2" xfId="566"/>
    <cellStyle name="60% - Accent2 3" xfId="567"/>
    <cellStyle name="60% - Accent2 4" xfId="568"/>
    <cellStyle name="60% - Accent2 5" xfId="569"/>
    <cellStyle name="60% - Accent2 6" xfId="570"/>
    <cellStyle name="60% - Accent2 7" xfId="571"/>
    <cellStyle name="60% - Accent2 8" xfId="572"/>
    <cellStyle name="60% - Accent2 9" xfId="573"/>
    <cellStyle name="60% - Accent3 10" xfId="574"/>
    <cellStyle name="60% - Accent3 11" xfId="575"/>
    <cellStyle name="60% - Accent3 12" xfId="576"/>
    <cellStyle name="60% - Accent3 13" xfId="577"/>
    <cellStyle name="60% - Accent3 14" xfId="578"/>
    <cellStyle name="60% - Accent3 15" xfId="579"/>
    <cellStyle name="60% - Accent3 16" xfId="580"/>
    <cellStyle name="60% - Accent3 17" xfId="581"/>
    <cellStyle name="60% - Accent3 18" xfId="582"/>
    <cellStyle name="60% - Accent3 2" xfId="583"/>
    <cellStyle name="60% - Accent3 3" xfId="584"/>
    <cellStyle name="60% - Accent3 4" xfId="585"/>
    <cellStyle name="60% - Accent3 5" xfId="586"/>
    <cellStyle name="60% - Accent3 6" xfId="587"/>
    <cellStyle name="60% - Accent3 7" xfId="588"/>
    <cellStyle name="60% - Accent3 8" xfId="589"/>
    <cellStyle name="60% - Accent3 9" xfId="590"/>
    <cellStyle name="60% - Accent4 10" xfId="591"/>
    <cellStyle name="60% - Accent4 11" xfId="592"/>
    <cellStyle name="60% - Accent4 12" xfId="593"/>
    <cellStyle name="60% - Accent4 13" xfId="594"/>
    <cellStyle name="60% - Accent4 14" xfId="595"/>
    <cellStyle name="60% - Accent4 15" xfId="596"/>
    <cellStyle name="60% - Accent4 16" xfId="597"/>
    <cellStyle name="60% - Accent4 17" xfId="598"/>
    <cellStyle name="60% - Accent4 18" xfId="599"/>
    <cellStyle name="60% - Accent4 2" xfId="600"/>
    <cellStyle name="60% - Accent4 3" xfId="601"/>
    <cellStyle name="60% - Accent4 4" xfId="602"/>
    <cellStyle name="60% - Accent4 5" xfId="603"/>
    <cellStyle name="60% - Accent4 6" xfId="604"/>
    <cellStyle name="60% - Accent4 7" xfId="605"/>
    <cellStyle name="60% - Accent4 8" xfId="606"/>
    <cellStyle name="60% - Accent4 9" xfId="607"/>
    <cellStyle name="60% - Accent5 10" xfId="608"/>
    <cellStyle name="60% - Accent5 11" xfId="609"/>
    <cellStyle name="60% - Accent5 12" xfId="610"/>
    <cellStyle name="60% - Accent5 13" xfId="611"/>
    <cellStyle name="60% - Accent5 14" xfId="612"/>
    <cellStyle name="60% - Accent5 15" xfId="613"/>
    <cellStyle name="60% - Accent5 16" xfId="614"/>
    <cellStyle name="60% - Accent5 17" xfId="615"/>
    <cellStyle name="60% - Accent5 18" xfId="616"/>
    <cellStyle name="60% - Accent5 2" xfId="617"/>
    <cellStyle name="60% - Accent5 3" xfId="618"/>
    <cellStyle name="60% - Accent5 4" xfId="619"/>
    <cellStyle name="60% - Accent5 5" xfId="620"/>
    <cellStyle name="60% - Accent5 6" xfId="621"/>
    <cellStyle name="60% - Accent5 7" xfId="622"/>
    <cellStyle name="60% - Accent5 8" xfId="623"/>
    <cellStyle name="60% - Accent5 9" xfId="624"/>
    <cellStyle name="60% - Accent6 10" xfId="625"/>
    <cellStyle name="60% - Accent6 11" xfId="626"/>
    <cellStyle name="60% - Accent6 12" xfId="627"/>
    <cellStyle name="60% - Accent6 13" xfId="628"/>
    <cellStyle name="60% - Accent6 14" xfId="629"/>
    <cellStyle name="60% - Accent6 15" xfId="630"/>
    <cellStyle name="60% - Accent6 16" xfId="631"/>
    <cellStyle name="60% - Accent6 17" xfId="632"/>
    <cellStyle name="60% - Accent6 18" xfId="633"/>
    <cellStyle name="60% - Accent6 2" xfId="634"/>
    <cellStyle name="60% - Accent6 3" xfId="635"/>
    <cellStyle name="60% - Accent6 4" xfId="636"/>
    <cellStyle name="60% - Accent6 5" xfId="637"/>
    <cellStyle name="60% - Accent6 6" xfId="638"/>
    <cellStyle name="60% - Accent6 7" xfId="639"/>
    <cellStyle name="60% - Accent6 8" xfId="640"/>
    <cellStyle name="60% - Accent6 9" xfId="641"/>
    <cellStyle name="Accent1 10" xfId="642"/>
    <cellStyle name="Accent1 11" xfId="643"/>
    <cellStyle name="Accent1 12" xfId="644"/>
    <cellStyle name="Accent1 13" xfId="645"/>
    <cellStyle name="Accent1 14" xfId="646"/>
    <cellStyle name="Accent1 15" xfId="647"/>
    <cellStyle name="Accent1 16" xfId="648"/>
    <cellStyle name="Accent1 17" xfId="649"/>
    <cellStyle name="Accent1 18" xfId="650"/>
    <cellStyle name="Accent1 2" xfId="651"/>
    <cellStyle name="Accent1 3" xfId="652"/>
    <cellStyle name="Accent1 4" xfId="653"/>
    <cellStyle name="Accent1 5" xfId="654"/>
    <cellStyle name="Accent1 6" xfId="655"/>
    <cellStyle name="Accent1 7" xfId="656"/>
    <cellStyle name="Accent1 8" xfId="657"/>
    <cellStyle name="Accent1 9" xfId="658"/>
    <cellStyle name="Accent2 10" xfId="659"/>
    <cellStyle name="Accent2 11" xfId="660"/>
    <cellStyle name="Accent2 12" xfId="661"/>
    <cellStyle name="Accent2 13" xfId="662"/>
    <cellStyle name="Accent2 14" xfId="663"/>
    <cellStyle name="Accent2 15" xfId="664"/>
    <cellStyle name="Accent2 16" xfId="665"/>
    <cellStyle name="Accent2 17" xfId="666"/>
    <cellStyle name="Accent2 18" xfId="667"/>
    <cellStyle name="Accent2 2" xfId="668"/>
    <cellStyle name="Accent2 3" xfId="669"/>
    <cellStyle name="Accent2 4" xfId="670"/>
    <cellStyle name="Accent2 5" xfId="671"/>
    <cellStyle name="Accent2 6" xfId="672"/>
    <cellStyle name="Accent2 7" xfId="673"/>
    <cellStyle name="Accent2 8" xfId="674"/>
    <cellStyle name="Accent2 9" xfId="675"/>
    <cellStyle name="Accent3 10" xfId="676"/>
    <cellStyle name="Accent3 11" xfId="677"/>
    <cellStyle name="Accent3 12" xfId="678"/>
    <cellStyle name="Accent3 13" xfId="679"/>
    <cellStyle name="Accent3 14" xfId="680"/>
    <cellStyle name="Accent3 15" xfId="681"/>
    <cellStyle name="Accent3 16" xfId="682"/>
    <cellStyle name="Accent3 17" xfId="683"/>
    <cellStyle name="Accent3 18" xfId="684"/>
    <cellStyle name="Accent3 2" xfId="685"/>
    <cellStyle name="Accent3 3" xfId="686"/>
    <cellStyle name="Accent3 4" xfId="687"/>
    <cellStyle name="Accent3 5" xfId="688"/>
    <cellStyle name="Accent3 6" xfId="689"/>
    <cellStyle name="Accent3 7" xfId="690"/>
    <cellStyle name="Accent3 8" xfId="691"/>
    <cellStyle name="Accent3 9" xfId="692"/>
    <cellStyle name="Accent4 10" xfId="693"/>
    <cellStyle name="Accent4 11" xfId="694"/>
    <cellStyle name="Accent4 12" xfId="695"/>
    <cellStyle name="Accent4 13" xfId="696"/>
    <cellStyle name="Accent4 14" xfId="697"/>
    <cellStyle name="Accent4 15" xfId="698"/>
    <cellStyle name="Accent4 16" xfId="699"/>
    <cellStyle name="Accent4 17" xfId="700"/>
    <cellStyle name="Accent4 18" xfId="701"/>
    <cellStyle name="Accent4 2" xfId="702"/>
    <cellStyle name="Accent4 3" xfId="703"/>
    <cellStyle name="Accent4 4" xfId="704"/>
    <cellStyle name="Accent4 5" xfId="705"/>
    <cellStyle name="Accent4 6" xfId="706"/>
    <cellStyle name="Accent4 7" xfId="707"/>
    <cellStyle name="Accent4 8" xfId="708"/>
    <cellStyle name="Accent4 9" xfId="709"/>
    <cellStyle name="Accent5 10" xfId="710"/>
    <cellStyle name="Accent5 11" xfId="711"/>
    <cellStyle name="Accent5 12" xfId="712"/>
    <cellStyle name="Accent5 13" xfId="713"/>
    <cellStyle name="Accent5 14" xfId="714"/>
    <cellStyle name="Accent5 15" xfId="715"/>
    <cellStyle name="Accent5 16" xfId="716"/>
    <cellStyle name="Accent5 17" xfId="717"/>
    <cellStyle name="Accent5 18" xfId="718"/>
    <cellStyle name="Accent5 2" xfId="719"/>
    <cellStyle name="Accent5 3" xfId="720"/>
    <cellStyle name="Accent5 4" xfId="721"/>
    <cellStyle name="Accent5 5" xfId="722"/>
    <cellStyle name="Accent5 6" xfId="723"/>
    <cellStyle name="Accent5 7" xfId="724"/>
    <cellStyle name="Accent5 8" xfId="725"/>
    <cellStyle name="Accent5 9" xfId="726"/>
    <cellStyle name="Accent6 10" xfId="727"/>
    <cellStyle name="Accent6 11" xfId="728"/>
    <cellStyle name="Accent6 12" xfId="729"/>
    <cellStyle name="Accent6 13" xfId="730"/>
    <cellStyle name="Accent6 14" xfId="731"/>
    <cellStyle name="Accent6 15" xfId="732"/>
    <cellStyle name="Accent6 16" xfId="733"/>
    <cellStyle name="Accent6 17" xfId="734"/>
    <cellStyle name="Accent6 18" xfId="735"/>
    <cellStyle name="Accent6 2" xfId="736"/>
    <cellStyle name="Accent6 3" xfId="737"/>
    <cellStyle name="Accent6 4" xfId="738"/>
    <cellStyle name="Accent6 5" xfId="739"/>
    <cellStyle name="Accent6 6" xfId="740"/>
    <cellStyle name="Accent6 7" xfId="741"/>
    <cellStyle name="Accent6 8" xfId="742"/>
    <cellStyle name="Accent6 9" xfId="743"/>
    <cellStyle name="Bad 10" xfId="744"/>
    <cellStyle name="Bad 11" xfId="745"/>
    <cellStyle name="Bad 12" xfId="746"/>
    <cellStyle name="Bad 13" xfId="747"/>
    <cellStyle name="Bad 14" xfId="748"/>
    <cellStyle name="Bad 15" xfId="749"/>
    <cellStyle name="Bad 16" xfId="750"/>
    <cellStyle name="Bad 17" xfId="751"/>
    <cellStyle name="Bad 18" xfId="752"/>
    <cellStyle name="Bad 2" xfId="753"/>
    <cellStyle name="Bad 3" xfId="754"/>
    <cellStyle name="Bad 4" xfId="755"/>
    <cellStyle name="Bad 5" xfId="756"/>
    <cellStyle name="Bad 6" xfId="757"/>
    <cellStyle name="Bad 7" xfId="758"/>
    <cellStyle name="Bad 8" xfId="759"/>
    <cellStyle name="Bad 9" xfId="760"/>
    <cellStyle name="Calculation 10" xfId="761"/>
    <cellStyle name="Calculation 11" xfId="762"/>
    <cellStyle name="Calculation 12" xfId="763"/>
    <cellStyle name="Calculation 13" xfId="764"/>
    <cellStyle name="Calculation 14" xfId="765"/>
    <cellStyle name="Calculation 15" xfId="766"/>
    <cellStyle name="Calculation 16" xfId="767"/>
    <cellStyle name="Calculation 17" xfId="768"/>
    <cellStyle name="Calculation 18" xfId="769"/>
    <cellStyle name="Calculation 2" xfId="770"/>
    <cellStyle name="Calculation 3" xfId="771"/>
    <cellStyle name="Calculation 4" xfId="772"/>
    <cellStyle name="Calculation 5" xfId="773"/>
    <cellStyle name="Calculation 6" xfId="774"/>
    <cellStyle name="Calculation 7" xfId="775"/>
    <cellStyle name="Calculation 8" xfId="776"/>
    <cellStyle name="Calculation 9" xfId="777"/>
    <cellStyle name="Check Cell 10" xfId="778"/>
    <cellStyle name="Check Cell 11" xfId="779"/>
    <cellStyle name="Check Cell 12" xfId="780"/>
    <cellStyle name="Check Cell 13" xfId="781"/>
    <cellStyle name="Check Cell 14" xfId="782"/>
    <cellStyle name="Check Cell 15" xfId="783"/>
    <cellStyle name="Check Cell 16" xfId="784"/>
    <cellStyle name="Check Cell 17" xfId="785"/>
    <cellStyle name="Check Cell 18" xfId="786"/>
    <cellStyle name="Check Cell 2" xfId="787"/>
    <cellStyle name="Check Cell 3" xfId="788"/>
    <cellStyle name="Check Cell 4" xfId="789"/>
    <cellStyle name="Check Cell 5" xfId="790"/>
    <cellStyle name="Check Cell 6" xfId="791"/>
    <cellStyle name="Check Cell 7" xfId="792"/>
    <cellStyle name="Check Cell 8" xfId="793"/>
    <cellStyle name="Check Cell 9" xfId="794"/>
    <cellStyle name="Comma" xfId="1" builtinId="3"/>
    <cellStyle name="Comma [0]" xfId="2" builtinId="6"/>
    <cellStyle name="Comma [0] 14" xfId="210"/>
    <cellStyle name="Comma [0] 16" xfId="211"/>
    <cellStyle name="Comma [0] 18" xfId="212"/>
    <cellStyle name="Comma [0] 2" xfId="17"/>
    <cellStyle name="Comma [0] 2 2" xfId="15"/>
    <cellStyle name="Comma [0] 2 2 2" xfId="319"/>
    <cellStyle name="Comma [0] 2 3" xfId="16"/>
    <cellStyle name="Comma [0] 2 3 2" xfId="21"/>
    <cellStyle name="Comma [0] 2 3 3" xfId="1097"/>
    <cellStyle name="Comma [0] 2 4" xfId="11"/>
    <cellStyle name="Comma [0] 2 5" xfId="20"/>
    <cellStyle name="Comma [0] 2 6" xfId="23"/>
    <cellStyle name="Comma [0] 2 7" xfId="24"/>
    <cellStyle name="Comma [0] 2 8" xfId="19"/>
    <cellStyle name="Comma [0] 2 9" xfId="318"/>
    <cellStyle name="Comma [0] 20" xfId="213"/>
    <cellStyle name="Comma [0] 22" xfId="214"/>
    <cellStyle name="Comma [0] 24" xfId="215"/>
    <cellStyle name="Comma [0] 26" xfId="216"/>
    <cellStyle name="Comma [0] 28" xfId="217"/>
    <cellStyle name="Comma [0] 3" xfId="4"/>
    <cellStyle name="Comma [0] 3 2" xfId="187"/>
    <cellStyle name="Comma [0] 30" xfId="218"/>
    <cellStyle name="Comma [0] 32" xfId="219"/>
    <cellStyle name="Comma [0] 34" xfId="220"/>
    <cellStyle name="Comma [0] 36" xfId="221"/>
    <cellStyle name="Comma [0] 38" xfId="222"/>
    <cellStyle name="Comma [0] 4" xfId="26"/>
    <cellStyle name="Comma [0] 4 2" xfId="223"/>
    <cellStyle name="Comma [0] 40" xfId="224"/>
    <cellStyle name="Comma [0] 42" xfId="225"/>
    <cellStyle name="Comma [0] 44" xfId="226"/>
    <cellStyle name="Comma [0] 46" xfId="227"/>
    <cellStyle name="Comma [0] 48" xfId="228"/>
    <cellStyle name="Comma [0] 5" xfId="1089"/>
    <cellStyle name="Comma [0] 50" xfId="229"/>
    <cellStyle name="Comma [0] 52" xfId="230"/>
    <cellStyle name="Comma [0] 54" xfId="231"/>
    <cellStyle name="Comma [0] 56" xfId="232"/>
    <cellStyle name="Comma [0] 59" xfId="233"/>
    <cellStyle name="Comma [0] 6" xfId="234"/>
    <cellStyle name="Comma [0] 61" xfId="235"/>
    <cellStyle name="Comma [0] 63" xfId="236"/>
    <cellStyle name="Comma [0] 7" xfId="28"/>
    <cellStyle name="Comma [0] 8" xfId="29"/>
    <cellStyle name="Comma [0] 9" xfId="33"/>
    <cellStyle name="Comma [0] 9 2" xfId="237"/>
    <cellStyle name="Comma 10" xfId="30"/>
    <cellStyle name="Comma 10 2" xfId="36"/>
    <cellStyle name="Comma 10 3" xfId="320"/>
    <cellStyle name="Comma 100" xfId="1079"/>
    <cellStyle name="Comma 101" xfId="1102"/>
    <cellStyle name="Comma 102" xfId="1103"/>
    <cellStyle name="Comma 103" xfId="1104"/>
    <cellStyle name="Comma 104" xfId="1078"/>
    <cellStyle name="Comma 105" xfId="1105"/>
    <cellStyle name="Comma 106" xfId="1106"/>
    <cellStyle name="Comma 107" xfId="1107"/>
    <cellStyle name="Comma 108" xfId="1108"/>
    <cellStyle name="Comma 109" xfId="1109"/>
    <cellStyle name="Comma 11" xfId="14"/>
    <cellStyle name="Comma 11 2" xfId="37"/>
    <cellStyle name="Comma 11 3" xfId="321"/>
    <cellStyle name="Comma 110" xfId="1110"/>
    <cellStyle name="Comma 111" xfId="1111"/>
    <cellStyle name="Comma 112" xfId="1112"/>
    <cellStyle name="Comma 113" xfId="1113"/>
    <cellStyle name="Comma 114" xfId="1114"/>
    <cellStyle name="Comma 115" xfId="1115"/>
    <cellStyle name="Comma 116" xfId="1116"/>
    <cellStyle name="Comma 117" xfId="1117"/>
    <cellStyle name="Comma 118" xfId="1118"/>
    <cellStyle name="Comma 119" xfId="1119"/>
    <cellStyle name="Comma 12" xfId="38"/>
    <cellStyle name="Comma 12 2" xfId="41"/>
    <cellStyle name="Comma 12 3" xfId="322"/>
    <cellStyle name="Comma 120" xfId="1120"/>
    <cellStyle name="Comma 121" xfId="1121"/>
    <cellStyle name="Comma 122" xfId="1122"/>
    <cellStyle name="Comma 123" xfId="1123"/>
    <cellStyle name="Comma 124" xfId="1124"/>
    <cellStyle name="Comma 125" xfId="1125"/>
    <cellStyle name="Comma 126" xfId="1126"/>
    <cellStyle name="Comma 127" xfId="1127"/>
    <cellStyle name="Comma 128" xfId="1128"/>
    <cellStyle name="Comma 129" xfId="1129"/>
    <cellStyle name="Comma 13" xfId="42"/>
    <cellStyle name="Comma 13 2" xfId="45"/>
    <cellStyle name="Comma 13 3" xfId="323"/>
    <cellStyle name="Comma 130" xfId="1130"/>
    <cellStyle name="Comma 131" xfId="1131"/>
    <cellStyle name="Comma 132" xfId="1132"/>
    <cellStyle name="Comma 133" xfId="1133"/>
    <cellStyle name="Comma 134" xfId="1134"/>
    <cellStyle name="Comma 135" xfId="1135"/>
    <cellStyle name="Comma 136" xfId="1136"/>
    <cellStyle name="Comma 137" xfId="1137"/>
    <cellStyle name="Comma 138" xfId="1138"/>
    <cellStyle name="Comma 139" xfId="1139"/>
    <cellStyle name="Comma 14" xfId="46"/>
    <cellStyle name="Comma 14 2" xfId="49"/>
    <cellStyle name="Comma 14 3" xfId="324"/>
    <cellStyle name="Comma 140" xfId="1140"/>
    <cellStyle name="Comma 141" xfId="1141"/>
    <cellStyle name="Comma 142" xfId="1142"/>
    <cellStyle name="Comma 143" xfId="1143"/>
    <cellStyle name="Comma 144" xfId="1144"/>
    <cellStyle name="Comma 145" xfId="1145"/>
    <cellStyle name="Comma 146" xfId="1146"/>
    <cellStyle name="Comma 147" xfId="1147"/>
    <cellStyle name="Comma 148" xfId="1148"/>
    <cellStyle name="Comma 149" xfId="1149"/>
    <cellStyle name="Comma 15" xfId="54"/>
    <cellStyle name="Comma 15 2" xfId="58"/>
    <cellStyle name="Comma 15 3" xfId="325"/>
    <cellStyle name="Comma 150" xfId="1150"/>
    <cellStyle name="Comma 151" xfId="1151"/>
    <cellStyle name="Comma 152" xfId="1152"/>
    <cellStyle name="Comma 153" xfId="1153"/>
    <cellStyle name="Comma 154" xfId="1154"/>
    <cellStyle name="Comma 155" xfId="1155"/>
    <cellStyle name="Comma 156" xfId="1156"/>
    <cellStyle name="Comma 157" xfId="1157"/>
    <cellStyle name="Comma 158" xfId="1158"/>
    <cellStyle name="Comma 159" xfId="1159"/>
    <cellStyle name="Comma 16" xfId="50"/>
    <cellStyle name="Comma 16 2" xfId="61"/>
    <cellStyle name="Comma 16 3" xfId="326"/>
    <cellStyle name="Comma 160" xfId="1160"/>
    <cellStyle name="Comma 161" xfId="1161"/>
    <cellStyle name="Comma 162" xfId="1080"/>
    <cellStyle name="Comma 163" xfId="1162"/>
    <cellStyle name="Comma 164" xfId="1163"/>
    <cellStyle name="Comma 165" xfId="1164"/>
    <cellStyle name="Comma 166" xfId="1165"/>
    <cellStyle name="Comma 167" xfId="1166"/>
    <cellStyle name="Comma 168" xfId="1167"/>
    <cellStyle name="Comma 169" xfId="1168"/>
    <cellStyle name="Comma 17" xfId="63"/>
    <cellStyle name="Comma 17 2" xfId="67"/>
    <cellStyle name="Comma 17 3" xfId="327"/>
    <cellStyle name="Comma 170" xfId="1169"/>
    <cellStyle name="Comma 171" xfId="1170"/>
    <cellStyle name="Comma 172" xfId="1171"/>
    <cellStyle name="Comma 173" xfId="1172"/>
    <cellStyle name="Comma 174" xfId="1173"/>
    <cellStyle name="Comma 175" xfId="1174"/>
    <cellStyle name="Comma 176" xfId="1175"/>
    <cellStyle name="Comma 177" xfId="1176"/>
    <cellStyle name="Comma 178" xfId="1177"/>
    <cellStyle name="Comma 179" xfId="1178"/>
    <cellStyle name="Comma 18" xfId="70"/>
    <cellStyle name="Comma 18 2" xfId="73"/>
    <cellStyle name="Comma 18 3" xfId="196"/>
    <cellStyle name="Comma 18 4" xfId="328"/>
    <cellStyle name="Comma 180" xfId="1179"/>
    <cellStyle name="Comma 181" xfId="1180"/>
    <cellStyle name="Comma 182" xfId="1181"/>
    <cellStyle name="Comma 183" xfId="1182"/>
    <cellStyle name="Comma 184" xfId="1183"/>
    <cellStyle name="Comma 185" xfId="1184"/>
    <cellStyle name="Comma 186" xfId="1185"/>
    <cellStyle name="Comma 187" xfId="1186"/>
    <cellStyle name="Comma 188" xfId="1187"/>
    <cellStyle name="Comma 189" xfId="1188"/>
    <cellStyle name="Comma 19" xfId="75"/>
    <cellStyle name="Comma 19 2" xfId="78"/>
    <cellStyle name="Comma 19 3" xfId="1048"/>
    <cellStyle name="Comma 190" xfId="1189"/>
    <cellStyle name="Comma 191" xfId="1190"/>
    <cellStyle name="Comma 192" xfId="1191"/>
    <cellStyle name="Comma 193" xfId="1192"/>
    <cellStyle name="Comma 194" xfId="1193"/>
    <cellStyle name="Comma 195" xfId="1194"/>
    <cellStyle name="Comma 196" xfId="1195"/>
    <cellStyle name="Comma 197" xfId="1196"/>
    <cellStyle name="Comma 198" xfId="1197"/>
    <cellStyle name="Comma 199" xfId="1198"/>
    <cellStyle name="Comma 2" xfId="80"/>
    <cellStyle name="Comma 2 2" xfId="81"/>
    <cellStyle name="Comma 2 2 2" xfId="1052"/>
    <cellStyle name="Comma 2 3" xfId="82"/>
    <cellStyle name="Comma 2 4" xfId="10"/>
    <cellStyle name="Comma 2 5" xfId="22"/>
    <cellStyle name="Comma 2 6" xfId="83"/>
    <cellStyle name="Comma 2 7" xfId="84"/>
    <cellStyle name="Comma 2 8" xfId="85"/>
    <cellStyle name="Comma 2 9" xfId="198"/>
    <cellStyle name="Comma 20" xfId="55"/>
    <cellStyle name="Comma 20 2" xfId="59"/>
    <cellStyle name="Comma 20 3" xfId="1049"/>
    <cellStyle name="Comma 200" xfId="1199"/>
    <cellStyle name="Comma 201" xfId="1200"/>
    <cellStyle name="Comma 202" xfId="1082"/>
    <cellStyle name="Comma 203" xfId="1201"/>
    <cellStyle name="Comma 204" xfId="1202"/>
    <cellStyle name="Comma 205" xfId="1203"/>
    <cellStyle name="Comma 206" xfId="1204"/>
    <cellStyle name="Comma 207" xfId="1205"/>
    <cellStyle name="Comma 208" xfId="1206"/>
    <cellStyle name="Comma 209" xfId="1207"/>
    <cellStyle name="Comma 21" xfId="51"/>
    <cellStyle name="Comma 21 2" xfId="62"/>
    <cellStyle name="Comma 21 3" xfId="1083"/>
    <cellStyle name="Comma 210" xfId="1208"/>
    <cellStyle name="Comma 211" xfId="1209"/>
    <cellStyle name="Comma 212" xfId="1210"/>
    <cellStyle name="Comma 213" xfId="1211"/>
    <cellStyle name="Comma 214" xfId="1212"/>
    <cellStyle name="Comma 215" xfId="1213"/>
    <cellStyle name="Comma 216" xfId="1214"/>
    <cellStyle name="Comma 217" xfId="1215"/>
    <cellStyle name="Comma 218" xfId="1216"/>
    <cellStyle name="Comma 219" xfId="1217"/>
    <cellStyle name="Comma 22" xfId="64"/>
    <cellStyle name="Comma 22 2" xfId="68"/>
    <cellStyle name="Comma 22 3" xfId="1054"/>
    <cellStyle name="Comma 220" xfId="1218"/>
    <cellStyle name="Comma 221" xfId="1219"/>
    <cellStyle name="Comma 222" xfId="1220"/>
    <cellStyle name="Comma 223" xfId="1221"/>
    <cellStyle name="Comma 224" xfId="1222"/>
    <cellStyle name="Comma 225" xfId="1223"/>
    <cellStyle name="Comma 226" xfId="1224"/>
    <cellStyle name="Comma 227" xfId="1225"/>
    <cellStyle name="Comma 228" xfId="1226"/>
    <cellStyle name="Comma 229" xfId="1081"/>
    <cellStyle name="Comma 23" xfId="71"/>
    <cellStyle name="Comma 23 2" xfId="74"/>
    <cellStyle name="Comma 23 3" xfId="1227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76"/>
    <cellStyle name="Comma 24 2" xfId="79"/>
    <cellStyle name="Comma 24 3" xfId="1238"/>
    <cellStyle name="Comma 240" xfId="1239"/>
    <cellStyle name="Comma 241" xfId="1240"/>
    <cellStyle name="Comma 242" xfId="1241"/>
    <cellStyle name="Comma 243" xfId="1242"/>
    <cellStyle name="Comma 244" xfId="1243"/>
    <cellStyle name="Comma 245" xfId="1244"/>
    <cellStyle name="Comma 246" xfId="1245"/>
    <cellStyle name="Comma 247" xfId="1246"/>
    <cellStyle name="Comma 248" xfId="1247"/>
    <cellStyle name="Comma 249" xfId="1248"/>
    <cellStyle name="Comma 25" xfId="86"/>
    <cellStyle name="Comma 25 2" xfId="89"/>
    <cellStyle name="Comma 25 3" xfId="1249"/>
    <cellStyle name="Comma 250" xfId="1250"/>
    <cellStyle name="Comma 251" xfId="1251"/>
    <cellStyle name="Comma 252" xfId="1252"/>
    <cellStyle name="Comma 253" xfId="1253"/>
    <cellStyle name="Comma 254" xfId="1254"/>
    <cellStyle name="Comma 255" xfId="1255"/>
    <cellStyle name="Comma 256" xfId="1256"/>
    <cellStyle name="Comma 257" xfId="1257"/>
    <cellStyle name="Comma 258" xfId="1258"/>
    <cellStyle name="Comma 259" xfId="1259"/>
    <cellStyle name="Comma 26" xfId="91"/>
    <cellStyle name="Comma 26 2" xfId="94"/>
    <cellStyle name="Comma 26 3" xfId="199"/>
    <cellStyle name="Comma 26 4" xfId="1260"/>
    <cellStyle name="Comma 260" xfId="1261"/>
    <cellStyle name="Comma 261" xfId="1262"/>
    <cellStyle name="Comma 262" xfId="1263"/>
    <cellStyle name="Comma 263" xfId="1084"/>
    <cellStyle name="Comma 264" xfId="1264"/>
    <cellStyle name="Comma 265" xfId="1265"/>
    <cellStyle name="Comma 266" xfId="1266"/>
    <cellStyle name="Comma 267" xfId="1099"/>
    <cellStyle name="Comma 268" xfId="1267"/>
    <cellStyle name="Comma 269" xfId="1268"/>
    <cellStyle name="Comma 27" xfId="96"/>
    <cellStyle name="Comma 27 2" xfId="98"/>
    <cellStyle name="Comma 27 3" xfId="335"/>
    <cellStyle name="Comma 270" xfId="1269"/>
    <cellStyle name="Comma 271" xfId="1270"/>
    <cellStyle name="Comma 272" xfId="1271"/>
    <cellStyle name="Comma 273" xfId="1272"/>
    <cellStyle name="Comma 274" xfId="1273"/>
    <cellStyle name="Comma 275" xfId="1274"/>
    <cellStyle name="Comma 276" xfId="1275"/>
    <cellStyle name="Comma 277" xfId="1276"/>
    <cellStyle name="Comma 278" xfId="1277"/>
    <cellStyle name="Comma 279" xfId="1278"/>
    <cellStyle name="Comma 28" xfId="100"/>
    <cellStyle name="Comma 28 2" xfId="102"/>
    <cellStyle name="Comma 28 3" xfId="1279"/>
    <cellStyle name="Comma 28 5" xfId="188"/>
    <cellStyle name="Comma 280" xfId="1280"/>
    <cellStyle name="Comma 281" xfId="1281"/>
    <cellStyle name="Comma 282" xfId="1282"/>
    <cellStyle name="Comma 283" xfId="1283"/>
    <cellStyle name="Comma 284" xfId="1284"/>
    <cellStyle name="Comma 285" xfId="1285"/>
    <cellStyle name="Comma 286" xfId="1286"/>
    <cellStyle name="Comma 287" xfId="1287"/>
    <cellStyle name="Comma 288" xfId="1288"/>
    <cellStyle name="Comma 289" xfId="1289"/>
    <cellStyle name="Comma 29" xfId="104"/>
    <cellStyle name="Comma 29 2" xfId="34"/>
    <cellStyle name="Comma 29 3" xfId="795"/>
    <cellStyle name="Comma 290" xfId="1290"/>
    <cellStyle name="Comma 291" xfId="1291"/>
    <cellStyle name="Comma 292" xfId="1292"/>
    <cellStyle name="Comma 293" xfId="1293"/>
    <cellStyle name="Comma 294" xfId="1294"/>
    <cellStyle name="Comma 295" xfId="1295"/>
    <cellStyle name="Comma 296" xfId="1296"/>
    <cellStyle name="Comma 297" xfId="1297"/>
    <cellStyle name="Comma 298" xfId="1298"/>
    <cellStyle name="Comma 299" xfId="1299"/>
    <cellStyle name="Comma 3" xfId="106"/>
    <cellStyle name="Comma 3 2" xfId="107"/>
    <cellStyle name="Comma 3 2 2" xfId="1096"/>
    <cellStyle name="Comma 3 2 3" xfId="1053"/>
    <cellStyle name="Comma 3 3" xfId="238"/>
    <cellStyle name="Comma 30" xfId="87"/>
    <cellStyle name="Comma 30 2" xfId="90"/>
    <cellStyle name="Comma 30 3" xfId="1300"/>
    <cellStyle name="Comma 300" xfId="1301"/>
    <cellStyle name="Comma 301" xfId="1302"/>
    <cellStyle name="Comma 302" xfId="1303"/>
    <cellStyle name="Comma 303" xfId="1304"/>
    <cellStyle name="Comma 304" xfId="1305"/>
    <cellStyle name="Comma 305" xfId="1306"/>
    <cellStyle name="Comma 306" xfId="1307"/>
    <cellStyle name="Comma 307" xfId="1308"/>
    <cellStyle name="Comma 308" xfId="1309"/>
    <cellStyle name="Comma 309" xfId="1310"/>
    <cellStyle name="Comma 31" xfId="92"/>
    <cellStyle name="Comma 31 2" xfId="95"/>
    <cellStyle name="Comma 31 3" xfId="1311"/>
    <cellStyle name="Comma 310" xfId="1312"/>
    <cellStyle name="Comma 311" xfId="1085"/>
    <cellStyle name="Comma 312" xfId="1313"/>
    <cellStyle name="Comma 313" xfId="1314"/>
    <cellStyle name="Comma 314" xfId="1100"/>
    <cellStyle name="Comma 315" xfId="1315"/>
    <cellStyle name="Comma 316" xfId="1316"/>
    <cellStyle name="Comma 317" xfId="1317"/>
    <cellStyle name="Comma 318" xfId="1318"/>
    <cellStyle name="Comma 319" xfId="1319"/>
    <cellStyle name="Comma 32" xfId="97"/>
    <cellStyle name="Comma 32 2" xfId="99"/>
    <cellStyle name="Comma 32 3" xfId="1320"/>
    <cellStyle name="Comma 320" xfId="1321"/>
    <cellStyle name="Comma 321" xfId="1322"/>
    <cellStyle name="Comma 322" xfId="1323"/>
    <cellStyle name="Comma 323" xfId="1324"/>
    <cellStyle name="Comma 324" xfId="1325"/>
    <cellStyle name="Comma 325" xfId="1326"/>
    <cellStyle name="Comma 326" xfId="1327"/>
    <cellStyle name="Comma 327" xfId="1328"/>
    <cellStyle name="Comma 328" xfId="1329"/>
    <cellStyle name="Comma 329" xfId="1330"/>
    <cellStyle name="Comma 33" xfId="101"/>
    <cellStyle name="Comma 33 2" xfId="103"/>
    <cellStyle name="Comma 33 3" xfId="1331"/>
    <cellStyle name="Comma 330" xfId="1086"/>
    <cellStyle name="Comma 331" xfId="1332"/>
    <cellStyle name="Comma 332" xfId="1333"/>
    <cellStyle name="Comma 333" xfId="1334"/>
    <cellStyle name="Comma 334" xfId="1335"/>
    <cellStyle name="Comma 335" xfId="1336"/>
    <cellStyle name="Comma 336" xfId="1337"/>
    <cellStyle name="Comma 337" xfId="1338"/>
    <cellStyle name="Comma 338" xfId="1339"/>
    <cellStyle name="Comma 339" xfId="1340"/>
    <cellStyle name="Comma 34" xfId="105"/>
    <cellStyle name="Comma 34 2" xfId="35"/>
    <cellStyle name="Comma 34 3" xfId="1341"/>
    <cellStyle name="Comma 340" xfId="1342"/>
    <cellStyle name="Comma 341" xfId="1343"/>
    <cellStyle name="Comma 342" xfId="1344"/>
    <cellStyle name="Comma 343" xfId="1345"/>
    <cellStyle name="Comma 344" xfId="1346"/>
    <cellStyle name="Comma 345" xfId="1347"/>
    <cellStyle name="Comma 346" xfId="1348"/>
    <cellStyle name="Comma 347" xfId="1349"/>
    <cellStyle name="Comma 348" xfId="1350"/>
    <cellStyle name="Comma 349" xfId="1351"/>
    <cellStyle name="Comma 35" xfId="108"/>
    <cellStyle name="Comma 35 2" xfId="109"/>
    <cellStyle name="Comma 35 3" xfId="1352"/>
    <cellStyle name="Comma 350" xfId="1353"/>
    <cellStyle name="Comma 351" xfId="1354"/>
    <cellStyle name="Comma 352" xfId="1355"/>
    <cellStyle name="Comma 353" xfId="1356"/>
    <cellStyle name="Comma 354" xfId="1357"/>
    <cellStyle name="Comma 355" xfId="1358"/>
    <cellStyle name="Comma 356" xfId="1359"/>
    <cellStyle name="Comma 357" xfId="1360"/>
    <cellStyle name="Comma 358" xfId="1361"/>
    <cellStyle name="Comma 359" xfId="1362"/>
    <cellStyle name="Comma 36" xfId="110"/>
    <cellStyle name="Comma 36 2" xfId="111"/>
    <cellStyle name="Comma 36 3" xfId="1363"/>
    <cellStyle name="Comma 360" xfId="1364"/>
    <cellStyle name="Comma 361" xfId="1365"/>
    <cellStyle name="Comma 362" xfId="1366"/>
    <cellStyle name="Comma 363" xfId="1367"/>
    <cellStyle name="Comma 364" xfId="1087"/>
    <cellStyle name="Comma 365" xfId="1368"/>
    <cellStyle name="Comma 366" xfId="1369"/>
    <cellStyle name="Comma 367" xfId="1370"/>
    <cellStyle name="Comma 368" xfId="1371"/>
    <cellStyle name="Comma 369" xfId="1372"/>
    <cellStyle name="Comma 37" xfId="112"/>
    <cellStyle name="Comma 37 2" xfId="113"/>
    <cellStyle name="Comma 37 3" xfId="1373"/>
    <cellStyle name="Comma 370" xfId="1374"/>
    <cellStyle name="Comma 371" xfId="1375"/>
    <cellStyle name="Comma 372" xfId="1376"/>
    <cellStyle name="Comma 373" xfId="1377"/>
    <cellStyle name="Comma 374" xfId="1378"/>
    <cellStyle name="Comma 375" xfId="1379"/>
    <cellStyle name="Comma 376" xfId="1380"/>
    <cellStyle name="Comma 377" xfId="1381"/>
    <cellStyle name="Comma 378" xfId="1382"/>
    <cellStyle name="Comma 379" xfId="1383"/>
    <cellStyle name="Comma 38" xfId="114"/>
    <cellStyle name="Comma 38 2" xfId="115"/>
    <cellStyle name="Comma 38 3" xfId="1384"/>
    <cellStyle name="Comma 380" xfId="1385"/>
    <cellStyle name="Comma 381" xfId="1386"/>
    <cellStyle name="Comma 382" xfId="1387"/>
    <cellStyle name="Comma 383" xfId="1388"/>
    <cellStyle name="Comma 384" xfId="1389"/>
    <cellStyle name="Comma 385" xfId="1390"/>
    <cellStyle name="Comma 386" xfId="1391"/>
    <cellStyle name="Comma 387" xfId="1392"/>
    <cellStyle name="Comma 388" xfId="1393"/>
    <cellStyle name="Comma 389" xfId="1394"/>
    <cellStyle name="Comma 39" xfId="184"/>
    <cellStyle name="Comma 39 2" xfId="1395"/>
    <cellStyle name="Comma 390" xfId="1396"/>
    <cellStyle name="Comma 391" xfId="1397"/>
    <cellStyle name="Comma 392" xfId="1398"/>
    <cellStyle name="Comma 393" xfId="1399"/>
    <cellStyle name="Comma 394" xfId="1400"/>
    <cellStyle name="Comma 395" xfId="1401"/>
    <cellStyle name="Comma 396" xfId="1402"/>
    <cellStyle name="Comma 397" xfId="1403"/>
    <cellStyle name="Comma 398" xfId="1404"/>
    <cellStyle name="Comma 399" xfId="1405"/>
    <cellStyle name="Comma 4" xfId="116"/>
    <cellStyle name="Comma 4 2" xfId="117"/>
    <cellStyle name="Comma 4 2 2" xfId="1098"/>
    <cellStyle name="Comma 4 3" xfId="317"/>
    <cellStyle name="Comma 40" xfId="1406"/>
    <cellStyle name="Comma 400" xfId="1407"/>
    <cellStyle name="Comma 401" xfId="1408"/>
    <cellStyle name="Comma 402" xfId="1409"/>
    <cellStyle name="Comma 403" xfId="1410"/>
    <cellStyle name="Comma 404" xfId="1411"/>
    <cellStyle name="Comma 405" xfId="1412"/>
    <cellStyle name="Comma 406" xfId="1413"/>
    <cellStyle name="Comma 407" xfId="1088"/>
    <cellStyle name="Comma 408" xfId="1414"/>
    <cellStyle name="Comma 409" xfId="1415"/>
    <cellStyle name="Comma 41" xfId="1416"/>
    <cellStyle name="Comma 410" xfId="1417"/>
    <cellStyle name="Comma 411" xfId="1418"/>
    <cellStyle name="Comma 412" xfId="1419"/>
    <cellStyle name="Comma 413" xfId="1420"/>
    <cellStyle name="Comma 414" xfId="1421"/>
    <cellStyle name="Comma 415" xfId="1422"/>
    <cellStyle name="Comma 416" xfId="1423"/>
    <cellStyle name="Comma 417" xfId="1424"/>
    <cellStyle name="Comma 418" xfId="1425"/>
    <cellStyle name="Comma 419" xfId="1426"/>
    <cellStyle name="Comma 42" xfId="1427"/>
    <cellStyle name="Comma 420" xfId="1428"/>
    <cellStyle name="Comma 421" xfId="1429"/>
    <cellStyle name="Comma 422" xfId="1430"/>
    <cellStyle name="Comma 423" xfId="1431"/>
    <cellStyle name="Comma 424" xfId="1432"/>
    <cellStyle name="Comma 425" xfId="1433"/>
    <cellStyle name="Comma 426" xfId="1434"/>
    <cellStyle name="Comma 427" xfId="1435"/>
    <cellStyle name="Comma 428" xfId="1436"/>
    <cellStyle name="Comma 429" xfId="1437"/>
    <cellStyle name="Comma 43" xfId="1438"/>
    <cellStyle name="Comma 430" xfId="1439"/>
    <cellStyle name="Comma 431" xfId="1440"/>
    <cellStyle name="Comma 432" xfId="1441"/>
    <cellStyle name="Comma 433" xfId="1442"/>
    <cellStyle name="Comma 434" xfId="1443"/>
    <cellStyle name="Comma 435" xfId="1444"/>
    <cellStyle name="Comma 436" xfId="1445"/>
    <cellStyle name="Comma 437" xfId="1446"/>
    <cellStyle name="Comma 438" xfId="1447"/>
    <cellStyle name="Comma 439" xfId="1448"/>
    <cellStyle name="Comma 44" xfId="1449"/>
    <cellStyle name="Comma 440" xfId="1450"/>
    <cellStyle name="Comma 441" xfId="1451"/>
    <cellStyle name="Comma 442" xfId="1452"/>
    <cellStyle name="Comma 443" xfId="1453"/>
    <cellStyle name="Comma 444" xfId="1454"/>
    <cellStyle name="Comma 445" xfId="1455"/>
    <cellStyle name="Comma 446" xfId="1456"/>
    <cellStyle name="Comma 447" xfId="1457"/>
    <cellStyle name="Comma 448" xfId="1458"/>
    <cellStyle name="Comma 449" xfId="1459"/>
    <cellStyle name="Comma 45" xfId="1460"/>
    <cellStyle name="Comma 450" xfId="1461"/>
    <cellStyle name="Comma 451" xfId="1462"/>
    <cellStyle name="Comma 452" xfId="1463"/>
    <cellStyle name="Comma 453" xfId="1464"/>
    <cellStyle name="Comma 454" xfId="1465"/>
    <cellStyle name="Comma 455" xfId="1466"/>
    <cellStyle name="Comma 456" xfId="1467"/>
    <cellStyle name="Comma 457" xfId="1468"/>
    <cellStyle name="Comma 458" xfId="1469"/>
    <cellStyle name="Comma 459" xfId="1470"/>
    <cellStyle name="Comma 46" xfId="1471"/>
    <cellStyle name="Comma 460" xfId="1472"/>
    <cellStyle name="Comma 461" xfId="1473"/>
    <cellStyle name="Comma 462" xfId="1090"/>
    <cellStyle name="Comma 463" xfId="1474"/>
    <cellStyle name="Comma 464" xfId="1475"/>
    <cellStyle name="Comma 465" xfId="1476"/>
    <cellStyle name="Comma 466" xfId="1477"/>
    <cellStyle name="Comma 467" xfId="1478"/>
    <cellStyle name="Comma 468" xfId="1479"/>
    <cellStyle name="Comma 469" xfId="1480"/>
    <cellStyle name="Comma 47" xfId="1481"/>
    <cellStyle name="Comma 470" xfId="1482"/>
    <cellStyle name="Comma 471" xfId="1483"/>
    <cellStyle name="Comma 472" xfId="1484"/>
    <cellStyle name="Comma 473" xfId="1485"/>
    <cellStyle name="Comma 474" xfId="1486"/>
    <cellStyle name="Comma 475" xfId="1487"/>
    <cellStyle name="Comma 476" xfId="1488"/>
    <cellStyle name="Comma 477" xfId="1489"/>
    <cellStyle name="Comma 478" xfId="1490"/>
    <cellStyle name="Comma 479" xfId="1491"/>
    <cellStyle name="Comma 48" xfId="1076"/>
    <cellStyle name="Comma 480" xfId="1492"/>
    <cellStyle name="Comma 481" xfId="1493"/>
    <cellStyle name="Comma 482" xfId="1494"/>
    <cellStyle name="Comma 483" xfId="1495"/>
    <cellStyle name="Comma 484" xfId="1496"/>
    <cellStyle name="Comma 485" xfId="1497"/>
    <cellStyle name="Comma 486" xfId="1498"/>
    <cellStyle name="Comma 487" xfId="1499"/>
    <cellStyle name="Comma 488" xfId="1500"/>
    <cellStyle name="Comma 489" xfId="1501"/>
    <cellStyle name="Comma 49" xfId="1502"/>
    <cellStyle name="Comma 490" xfId="1503"/>
    <cellStyle name="Comma 491" xfId="1504"/>
    <cellStyle name="Comma 492" xfId="1505"/>
    <cellStyle name="Comma 493" xfId="1506"/>
    <cellStyle name="Comma 494" xfId="1507"/>
    <cellStyle name="Comma 495" xfId="1508"/>
    <cellStyle name="Comma 496" xfId="1509"/>
    <cellStyle name="Comma 497" xfId="1510"/>
    <cellStyle name="Comma 498" xfId="1511"/>
    <cellStyle name="Comma 499" xfId="1512"/>
    <cellStyle name="Comma 5" xfId="118"/>
    <cellStyle name="Comma 5 2" xfId="119"/>
    <cellStyle name="Comma 5 3" xfId="329"/>
    <cellStyle name="Comma 50" xfId="1513"/>
    <cellStyle name="Comma 500" xfId="1514"/>
    <cellStyle name="Comma 501" xfId="1515"/>
    <cellStyle name="Comma 502" xfId="1516"/>
    <cellStyle name="Comma 503" xfId="1517"/>
    <cellStyle name="Comma 504" xfId="1518"/>
    <cellStyle name="Comma 505" xfId="1519"/>
    <cellStyle name="Comma 506" xfId="1520"/>
    <cellStyle name="Comma 507" xfId="1521"/>
    <cellStyle name="Comma 508" xfId="1522"/>
    <cellStyle name="Comma 509" xfId="1523"/>
    <cellStyle name="Comma 51" xfId="1524"/>
    <cellStyle name="Comma 510" xfId="1525"/>
    <cellStyle name="Comma 511" xfId="1526"/>
    <cellStyle name="Comma 512" xfId="1527"/>
    <cellStyle name="Comma 513" xfId="1528"/>
    <cellStyle name="Comma 514" xfId="1529"/>
    <cellStyle name="Comma 515" xfId="1530"/>
    <cellStyle name="Comma 516" xfId="1531"/>
    <cellStyle name="Comma 517" xfId="1532"/>
    <cellStyle name="Comma 518" xfId="1091"/>
    <cellStyle name="Comma 519" xfId="1533"/>
    <cellStyle name="Comma 52" xfId="1534"/>
    <cellStyle name="Comma 520" xfId="1535"/>
    <cellStyle name="Comma 521" xfId="1536"/>
    <cellStyle name="Comma 522" xfId="1537"/>
    <cellStyle name="Comma 523" xfId="1538"/>
    <cellStyle name="Comma 524" xfId="1539"/>
    <cellStyle name="Comma 525" xfId="1540"/>
    <cellStyle name="Comma 526" xfId="1541"/>
    <cellStyle name="Comma 527" xfId="1542"/>
    <cellStyle name="Comma 528" xfId="1543"/>
    <cellStyle name="Comma 529" xfId="1544"/>
    <cellStyle name="Comma 53" xfId="1545"/>
    <cellStyle name="Comma 530" xfId="1546"/>
    <cellStyle name="Comma 531" xfId="1547"/>
    <cellStyle name="Comma 532" xfId="1548"/>
    <cellStyle name="Comma 533" xfId="1549"/>
    <cellStyle name="Comma 534" xfId="1550"/>
    <cellStyle name="Comma 535" xfId="1551"/>
    <cellStyle name="Comma 536" xfId="1552"/>
    <cellStyle name="Comma 537" xfId="1553"/>
    <cellStyle name="Comma 538" xfId="1554"/>
    <cellStyle name="Comma 539" xfId="1555"/>
    <cellStyle name="Comma 54" xfId="1556"/>
    <cellStyle name="Comma 540" xfId="1557"/>
    <cellStyle name="Comma 541" xfId="1558"/>
    <cellStyle name="Comma 542" xfId="1559"/>
    <cellStyle name="Comma 543" xfId="1560"/>
    <cellStyle name="Comma 544" xfId="1561"/>
    <cellStyle name="Comma 545" xfId="1562"/>
    <cellStyle name="Comma 546" xfId="1563"/>
    <cellStyle name="Comma 547" xfId="1564"/>
    <cellStyle name="Comma 548" xfId="1565"/>
    <cellStyle name="Comma 549" xfId="1566"/>
    <cellStyle name="Comma 55" xfId="1567"/>
    <cellStyle name="Comma 550" xfId="1568"/>
    <cellStyle name="Comma 551" xfId="1569"/>
    <cellStyle name="Comma 552" xfId="1570"/>
    <cellStyle name="Comma 553" xfId="1571"/>
    <cellStyle name="Comma 554" xfId="1572"/>
    <cellStyle name="Comma 555" xfId="1573"/>
    <cellStyle name="Comma 556" xfId="1574"/>
    <cellStyle name="Comma 557" xfId="1575"/>
    <cellStyle name="Comma 558" xfId="1576"/>
    <cellStyle name="Comma 559" xfId="1577"/>
    <cellStyle name="Comma 56" xfId="1578"/>
    <cellStyle name="Comma 560" xfId="1579"/>
    <cellStyle name="Comma 561" xfId="1580"/>
    <cellStyle name="Comma 562" xfId="1581"/>
    <cellStyle name="Comma 563" xfId="1582"/>
    <cellStyle name="Comma 564" xfId="1583"/>
    <cellStyle name="Comma 565" xfId="1584"/>
    <cellStyle name="Comma 566" xfId="1585"/>
    <cellStyle name="Comma 567" xfId="1586"/>
    <cellStyle name="Comma 568" xfId="1092"/>
    <cellStyle name="Comma 569" xfId="1587"/>
    <cellStyle name="Comma 57" xfId="1588"/>
    <cellStyle name="Comma 570" xfId="1589"/>
    <cellStyle name="Comma 571" xfId="1590"/>
    <cellStyle name="Comma 572" xfId="1591"/>
    <cellStyle name="Comma 573" xfId="1592"/>
    <cellStyle name="Comma 574" xfId="1593"/>
    <cellStyle name="Comma 575" xfId="1594"/>
    <cellStyle name="Comma 576" xfId="1595"/>
    <cellStyle name="Comma 577" xfId="1596"/>
    <cellStyle name="Comma 578" xfId="1597"/>
    <cellStyle name="Comma 579" xfId="1598"/>
    <cellStyle name="Comma 58" xfId="1599"/>
    <cellStyle name="Comma 580" xfId="1600"/>
    <cellStyle name="Comma 581" xfId="1601"/>
    <cellStyle name="Comma 582" xfId="1602"/>
    <cellStyle name="Comma 583" xfId="1603"/>
    <cellStyle name="Comma 584" xfId="1604"/>
    <cellStyle name="Comma 585" xfId="1605"/>
    <cellStyle name="Comma 586" xfId="1606"/>
    <cellStyle name="Comma 587" xfId="1607"/>
    <cellStyle name="Comma 588" xfId="1608"/>
    <cellStyle name="Comma 589" xfId="1609"/>
    <cellStyle name="Comma 59" xfId="1610"/>
    <cellStyle name="Comma 590" xfId="1611"/>
    <cellStyle name="Comma 591" xfId="1612"/>
    <cellStyle name="Comma 592" xfId="1613"/>
    <cellStyle name="Comma 593" xfId="1614"/>
    <cellStyle name="Comma 594" xfId="1615"/>
    <cellStyle name="Comma 595" xfId="1616"/>
    <cellStyle name="Comma 596" xfId="1617"/>
    <cellStyle name="Comma 597" xfId="1618"/>
    <cellStyle name="Comma 598" xfId="1619"/>
    <cellStyle name="Comma 599" xfId="1620"/>
    <cellStyle name="Comma 6" xfId="120"/>
    <cellStyle name="Comma 6 2" xfId="121"/>
    <cellStyle name="Comma 6 3" xfId="330"/>
    <cellStyle name="Comma 60" xfId="1621"/>
    <cellStyle name="Comma 600" xfId="1622"/>
    <cellStyle name="Comma 601" xfId="1623"/>
    <cellStyle name="Comma 602" xfId="1624"/>
    <cellStyle name="Comma 603" xfId="1625"/>
    <cellStyle name="Comma 604" xfId="1626"/>
    <cellStyle name="Comma 605" xfId="1627"/>
    <cellStyle name="Comma 606" xfId="1628"/>
    <cellStyle name="Comma 607" xfId="1629"/>
    <cellStyle name="Comma 608" xfId="1630"/>
    <cellStyle name="Comma 609" xfId="1631"/>
    <cellStyle name="Comma 61" xfId="1632"/>
    <cellStyle name="Comma 610" xfId="1633"/>
    <cellStyle name="Comma 611" xfId="1634"/>
    <cellStyle name="Comma 612" xfId="1635"/>
    <cellStyle name="Comma 613" xfId="1636"/>
    <cellStyle name="Comma 614" xfId="1637"/>
    <cellStyle name="Comma 615" xfId="1638"/>
    <cellStyle name="Comma 616" xfId="1639"/>
    <cellStyle name="Comma 617" xfId="1640"/>
    <cellStyle name="Comma 618" xfId="1641"/>
    <cellStyle name="Comma 619" xfId="1642"/>
    <cellStyle name="Comma 62" xfId="1643"/>
    <cellStyle name="Comma 620" xfId="1644"/>
    <cellStyle name="Comma 621" xfId="1645"/>
    <cellStyle name="Comma 622" xfId="1646"/>
    <cellStyle name="Comma 623" xfId="1647"/>
    <cellStyle name="Comma 624" xfId="1648"/>
    <cellStyle name="Comma 625" xfId="1649"/>
    <cellStyle name="Comma 626" xfId="1650"/>
    <cellStyle name="Comma 627" xfId="1651"/>
    <cellStyle name="Comma 628" xfId="1652"/>
    <cellStyle name="Comma 629" xfId="1653"/>
    <cellStyle name="Comma 63" xfId="1654"/>
    <cellStyle name="Comma 630" xfId="1101"/>
    <cellStyle name="Comma 631" xfId="1655"/>
    <cellStyle name="Comma 632" xfId="1656"/>
    <cellStyle name="Comma 633" xfId="1657"/>
    <cellStyle name="Comma 634" xfId="1658"/>
    <cellStyle name="Comma 635" xfId="1659"/>
    <cellStyle name="Comma 636" xfId="1660"/>
    <cellStyle name="Comma 637" xfId="1661"/>
    <cellStyle name="Comma 638" xfId="1662"/>
    <cellStyle name="Comma 639" xfId="1663"/>
    <cellStyle name="Comma 64" xfId="1664"/>
    <cellStyle name="Comma 640" xfId="1665"/>
    <cellStyle name="Comma 641" xfId="1666"/>
    <cellStyle name="Comma 642" xfId="1667"/>
    <cellStyle name="Comma 643" xfId="1668"/>
    <cellStyle name="Comma 644" xfId="1669"/>
    <cellStyle name="Comma 645" xfId="1670"/>
    <cellStyle name="Comma 646" xfId="1671"/>
    <cellStyle name="Comma 647" xfId="1672"/>
    <cellStyle name="Comma 648" xfId="1673"/>
    <cellStyle name="Comma 649" xfId="1674"/>
    <cellStyle name="Comma 65" xfId="1675"/>
    <cellStyle name="Comma 650" xfId="1676"/>
    <cellStyle name="Comma 651" xfId="1677"/>
    <cellStyle name="Comma 652" xfId="1678"/>
    <cellStyle name="Comma 653" xfId="1679"/>
    <cellStyle name="Comma 654" xfId="1680"/>
    <cellStyle name="Comma 655" xfId="1681"/>
    <cellStyle name="Comma 656" xfId="1682"/>
    <cellStyle name="Comma 657" xfId="1683"/>
    <cellStyle name="Comma 658" xfId="1684"/>
    <cellStyle name="Comma 659" xfId="1685"/>
    <cellStyle name="Comma 66" xfId="1686"/>
    <cellStyle name="Comma 660" xfId="1687"/>
    <cellStyle name="Comma 661" xfId="1688"/>
    <cellStyle name="Comma 662" xfId="1689"/>
    <cellStyle name="Comma 663" xfId="1690"/>
    <cellStyle name="Comma 664" xfId="1691"/>
    <cellStyle name="Comma 665" xfId="1692"/>
    <cellStyle name="Comma 666" xfId="1693"/>
    <cellStyle name="Comma 667" xfId="1694"/>
    <cellStyle name="Comma 668" xfId="1695"/>
    <cellStyle name="Comma 669" xfId="1696"/>
    <cellStyle name="Comma 67" xfId="1697"/>
    <cellStyle name="Comma 670" xfId="1698"/>
    <cellStyle name="Comma 671" xfId="1699"/>
    <cellStyle name="Comma 672" xfId="1700"/>
    <cellStyle name="Comma 673" xfId="1701"/>
    <cellStyle name="Comma 674" xfId="1702"/>
    <cellStyle name="Comma 675" xfId="1703"/>
    <cellStyle name="Comma 676" xfId="1704"/>
    <cellStyle name="Comma 677" xfId="1705"/>
    <cellStyle name="Comma 678" xfId="1706"/>
    <cellStyle name="Comma 679" xfId="1707"/>
    <cellStyle name="Comma 68" xfId="1708"/>
    <cellStyle name="Comma 680" xfId="1709"/>
    <cellStyle name="Comma 681" xfId="1710"/>
    <cellStyle name="Comma 682" xfId="1093"/>
    <cellStyle name="Comma 683" xfId="1711"/>
    <cellStyle name="Comma 684" xfId="1712"/>
    <cellStyle name="Comma 685" xfId="1713"/>
    <cellStyle name="Comma 686" xfId="1714"/>
    <cellStyle name="Comma 687" xfId="1715"/>
    <cellStyle name="Comma 688" xfId="1716"/>
    <cellStyle name="Comma 689" xfId="1717"/>
    <cellStyle name="Comma 69" xfId="1718"/>
    <cellStyle name="Comma 690" xfId="1719"/>
    <cellStyle name="Comma 691" xfId="1720"/>
    <cellStyle name="Comma 692" xfId="1721"/>
    <cellStyle name="Comma 693" xfId="1722"/>
    <cellStyle name="Comma 694" xfId="1723"/>
    <cellStyle name="Comma 695" xfId="1724"/>
    <cellStyle name="Comma 696" xfId="1725"/>
    <cellStyle name="Comma 697" xfId="1726"/>
    <cellStyle name="Comma 698" xfId="1727"/>
    <cellStyle name="Comma 699" xfId="1728"/>
    <cellStyle name="Comma 7" xfId="122"/>
    <cellStyle name="Comma 7 2" xfId="123"/>
    <cellStyle name="Comma 7 3" xfId="197"/>
    <cellStyle name="Comma 7 4" xfId="331"/>
    <cellStyle name="Comma 70" xfId="1077"/>
    <cellStyle name="Comma 700" xfId="1729"/>
    <cellStyle name="Comma 701" xfId="1730"/>
    <cellStyle name="Comma 702" xfId="1731"/>
    <cellStyle name="Comma 703" xfId="1732"/>
    <cellStyle name="Comma 704" xfId="1733"/>
    <cellStyle name="Comma 705" xfId="1734"/>
    <cellStyle name="Comma 706" xfId="1735"/>
    <cellStyle name="Comma 707" xfId="1736"/>
    <cellStyle name="Comma 708" xfId="1737"/>
    <cellStyle name="Comma 709" xfId="1738"/>
    <cellStyle name="Comma 71" xfId="1739"/>
    <cellStyle name="Comma 710" xfId="1740"/>
    <cellStyle name="Comma 711" xfId="1741"/>
    <cellStyle name="Comma 712" xfId="1742"/>
    <cellStyle name="Comma 713" xfId="1743"/>
    <cellStyle name="Comma 714" xfId="1744"/>
    <cellStyle name="Comma 715" xfId="1745"/>
    <cellStyle name="Comma 716" xfId="1746"/>
    <cellStyle name="Comma 717" xfId="1747"/>
    <cellStyle name="Comma 718" xfId="1748"/>
    <cellStyle name="Comma 719" xfId="1749"/>
    <cellStyle name="Comma 72" xfId="1750"/>
    <cellStyle name="Comma 720" xfId="1751"/>
    <cellStyle name="Comma 721" xfId="1752"/>
    <cellStyle name="Comma 722" xfId="1753"/>
    <cellStyle name="Comma 723" xfId="1754"/>
    <cellStyle name="Comma 724" xfId="1755"/>
    <cellStyle name="Comma 725" xfId="1756"/>
    <cellStyle name="Comma 726" xfId="1757"/>
    <cellStyle name="Comma 727" xfId="1758"/>
    <cellStyle name="Comma 728" xfId="1759"/>
    <cellStyle name="Comma 729" xfId="1760"/>
    <cellStyle name="Comma 73" xfId="1761"/>
    <cellStyle name="Comma 730" xfId="1762"/>
    <cellStyle name="Comma 731" xfId="1763"/>
    <cellStyle name="Comma 732" xfId="1764"/>
    <cellStyle name="Comma 733" xfId="1765"/>
    <cellStyle name="Comma 734" xfId="1766"/>
    <cellStyle name="Comma 735" xfId="1767"/>
    <cellStyle name="Comma 736" xfId="1768"/>
    <cellStyle name="Comma 737" xfId="1769"/>
    <cellStyle name="Comma 738" xfId="1770"/>
    <cellStyle name="Comma 739" xfId="1771"/>
    <cellStyle name="Comma 74" xfId="1772"/>
    <cellStyle name="Comma 740" xfId="1773"/>
    <cellStyle name="Comma 741" xfId="1094"/>
    <cellStyle name="Comma 742" xfId="1774"/>
    <cellStyle name="Comma 743" xfId="1775"/>
    <cellStyle name="Comma 744" xfId="1776"/>
    <cellStyle name="Comma 745" xfId="1777"/>
    <cellStyle name="Comma 746" xfId="1778"/>
    <cellStyle name="Comma 747" xfId="1779"/>
    <cellStyle name="Comma 748" xfId="1780"/>
    <cellStyle name="Comma 749" xfId="1781"/>
    <cellStyle name="Comma 75" xfId="1782"/>
    <cellStyle name="Comma 750" xfId="1783"/>
    <cellStyle name="Comma 751" xfId="1784"/>
    <cellStyle name="Comma 752" xfId="1785"/>
    <cellStyle name="Comma 753" xfId="1786"/>
    <cellStyle name="Comma 754" xfId="1787"/>
    <cellStyle name="Comma 755" xfId="1788"/>
    <cellStyle name="Comma 756" xfId="1789"/>
    <cellStyle name="Comma 757" xfId="1790"/>
    <cellStyle name="Comma 758" xfId="1791"/>
    <cellStyle name="Comma 759" xfId="1792"/>
    <cellStyle name="Comma 76" xfId="1793"/>
    <cellStyle name="Comma 760" xfId="1794"/>
    <cellStyle name="Comma 761" xfId="1795"/>
    <cellStyle name="Comma 762" xfId="1796"/>
    <cellStyle name="Comma 763" xfId="1797"/>
    <cellStyle name="Comma 764" xfId="1798"/>
    <cellStyle name="Comma 765" xfId="1799"/>
    <cellStyle name="Comma 766" xfId="1800"/>
    <cellStyle name="Comma 767" xfId="1801"/>
    <cellStyle name="Comma 768" xfId="1802"/>
    <cellStyle name="Comma 769" xfId="1803"/>
    <cellStyle name="Comma 77" xfId="1804"/>
    <cellStyle name="Comma 770" xfId="1805"/>
    <cellStyle name="Comma 771" xfId="1806"/>
    <cellStyle name="Comma 772" xfId="1807"/>
    <cellStyle name="Comma 773" xfId="1808"/>
    <cellStyle name="Comma 774" xfId="1809"/>
    <cellStyle name="Comma 775" xfId="1810"/>
    <cellStyle name="Comma 776" xfId="1811"/>
    <cellStyle name="Comma 777" xfId="1812"/>
    <cellStyle name="Comma 778" xfId="1813"/>
    <cellStyle name="Comma 779" xfId="1814"/>
    <cellStyle name="Comma 78" xfId="1815"/>
    <cellStyle name="Comma 780" xfId="1816"/>
    <cellStyle name="Comma 781" xfId="1817"/>
    <cellStyle name="Comma 782" xfId="1818"/>
    <cellStyle name="Comma 783" xfId="1819"/>
    <cellStyle name="Comma 784" xfId="1820"/>
    <cellStyle name="Comma 785" xfId="1821"/>
    <cellStyle name="Comma 786" xfId="1822"/>
    <cellStyle name="Comma 787" xfId="1823"/>
    <cellStyle name="Comma 788" xfId="1824"/>
    <cellStyle name="Comma 789" xfId="1825"/>
    <cellStyle name="Comma 79" xfId="1826"/>
    <cellStyle name="Comma 790" xfId="1827"/>
    <cellStyle name="Comma 791" xfId="1828"/>
    <cellStyle name="Comma 792" xfId="1829"/>
    <cellStyle name="Comma 793" xfId="1830"/>
    <cellStyle name="Comma 794" xfId="1831"/>
    <cellStyle name="Comma 795" xfId="1832"/>
    <cellStyle name="Comma 796" xfId="1833"/>
    <cellStyle name="Comma 797" xfId="1834"/>
    <cellStyle name="Comma 798" xfId="1835"/>
    <cellStyle name="Comma 799" xfId="1836"/>
    <cellStyle name="Comma 8" xfId="124"/>
    <cellStyle name="Comma 8 2" xfId="125"/>
    <cellStyle name="Comma 8 3" xfId="332"/>
    <cellStyle name="Comma 80" xfId="1837"/>
    <cellStyle name="Comma 800" xfId="1838"/>
    <cellStyle name="Comma 801" xfId="1839"/>
    <cellStyle name="Comma 802" xfId="1840"/>
    <cellStyle name="Comma 803" xfId="1841"/>
    <cellStyle name="Comma 804" xfId="1842"/>
    <cellStyle name="Comma 805" xfId="1843"/>
    <cellStyle name="Comma 806" xfId="1844"/>
    <cellStyle name="Comma 807" xfId="1845"/>
    <cellStyle name="Comma 808" xfId="1095"/>
    <cellStyle name="Comma 809" xfId="1846"/>
    <cellStyle name="Comma 81" xfId="1847"/>
    <cellStyle name="Comma 810" xfId="1848"/>
    <cellStyle name="Comma 811" xfId="1849"/>
    <cellStyle name="Comma 812" xfId="1850"/>
    <cellStyle name="Comma 813" xfId="1851"/>
    <cellStyle name="Comma 814" xfId="1852"/>
    <cellStyle name="Comma 815" xfId="1853"/>
    <cellStyle name="Comma 816" xfId="1854"/>
    <cellStyle name="Comma 817" xfId="1855"/>
    <cellStyle name="Comma 818" xfId="1856"/>
    <cellStyle name="Comma 819" xfId="1857"/>
    <cellStyle name="Comma 82" xfId="1858"/>
    <cellStyle name="Comma 820" xfId="1859"/>
    <cellStyle name="Comma 821" xfId="1860"/>
    <cellStyle name="Comma 822" xfId="1861"/>
    <cellStyle name="Comma 823" xfId="1862"/>
    <cellStyle name="Comma 824" xfId="1075"/>
    <cellStyle name="Comma 825" xfId="1883"/>
    <cellStyle name="Comma 826" xfId="1884"/>
    <cellStyle name="Comma 827" xfId="1885"/>
    <cellStyle name="Comma 828" xfId="1886"/>
    <cellStyle name="Comma 829" xfId="1887"/>
    <cellStyle name="Comma 83" xfId="1863"/>
    <cellStyle name="Comma 830" xfId="1888"/>
    <cellStyle name="Comma 831" xfId="1890"/>
    <cellStyle name="Comma 832" xfId="1891"/>
    <cellStyle name="Comma 833" xfId="1892"/>
    <cellStyle name="Comma 834" xfId="1893"/>
    <cellStyle name="Comma 835" xfId="1895"/>
    <cellStyle name="Comma 836" xfId="190"/>
    <cellStyle name="Comma 84" xfId="1864"/>
    <cellStyle name="Comma 843" xfId="1889"/>
    <cellStyle name="Comma 85" xfId="1865"/>
    <cellStyle name="Comma 86" xfId="1866"/>
    <cellStyle name="Comma 87" xfId="1867"/>
    <cellStyle name="Comma 88" xfId="1868"/>
    <cellStyle name="Comma 89" xfId="1869"/>
    <cellStyle name="Comma 9" xfId="126"/>
    <cellStyle name="Comma 9 2" xfId="127"/>
    <cellStyle name="Comma 9 3" xfId="333"/>
    <cellStyle name="Comma 90" xfId="1870"/>
    <cellStyle name="Comma 91" xfId="1871"/>
    <cellStyle name="Comma 92" xfId="1872"/>
    <cellStyle name="Comma 93" xfId="1873"/>
    <cellStyle name="Comma 94" xfId="1874"/>
    <cellStyle name="Comma 95" xfId="1875"/>
    <cellStyle name="Comma 96" xfId="1876"/>
    <cellStyle name="Comma 97" xfId="1877"/>
    <cellStyle name="Comma 98" xfId="1878"/>
    <cellStyle name="Comma 99" xfId="1879"/>
    <cellStyle name="Excel Built-in Normal" xfId="192"/>
    <cellStyle name="Explanatory Text 10" xfId="796"/>
    <cellStyle name="Explanatory Text 11" xfId="797"/>
    <cellStyle name="Explanatory Text 12" xfId="798"/>
    <cellStyle name="Explanatory Text 13" xfId="799"/>
    <cellStyle name="Explanatory Text 14" xfId="800"/>
    <cellStyle name="Explanatory Text 15" xfId="801"/>
    <cellStyle name="Explanatory Text 16" xfId="802"/>
    <cellStyle name="Explanatory Text 17" xfId="803"/>
    <cellStyle name="Explanatory Text 18" xfId="804"/>
    <cellStyle name="Explanatory Text 2" xfId="805"/>
    <cellStyle name="Explanatory Text 3" xfId="806"/>
    <cellStyle name="Explanatory Text 4" xfId="807"/>
    <cellStyle name="Explanatory Text 5" xfId="808"/>
    <cellStyle name="Explanatory Text 6" xfId="809"/>
    <cellStyle name="Explanatory Text 7" xfId="810"/>
    <cellStyle name="Explanatory Text 8" xfId="811"/>
    <cellStyle name="Explanatory Text 9" xfId="812"/>
    <cellStyle name="Good 10" xfId="813"/>
    <cellStyle name="Good 11" xfId="814"/>
    <cellStyle name="Good 12" xfId="815"/>
    <cellStyle name="Good 13" xfId="816"/>
    <cellStyle name="Good 14" xfId="817"/>
    <cellStyle name="Good 15" xfId="818"/>
    <cellStyle name="Good 16" xfId="819"/>
    <cellStyle name="Good 17" xfId="820"/>
    <cellStyle name="Good 18" xfId="821"/>
    <cellStyle name="Good 2" xfId="822"/>
    <cellStyle name="Good 3" xfId="823"/>
    <cellStyle name="Good 4" xfId="824"/>
    <cellStyle name="Good 5" xfId="825"/>
    <cellStyle name="Good 6" xfId="826"/>
    <cellStyle name="Good 7" xfId="827"/>
    <cellStyle name="Good 8" xfId="828"/>
    <cellStyle name="Good 9" xfId="829"/>
    <cellStyle name="Heading 1 10" xfId="830"/>
    <cellStyle name="Heading 1 11" xfId="831"/>
    <cellStyle name="Heading 1 12" xfId="832"/>
    <cellStyle name="Heading 1 13" xfId="833"/>
    <cellStyle name="Heading 1 14" xfId="834"/>
    <cellStyle name="Heading 1 15" xfId="835"/>
    <cellStyle name="Heading 1 16" xfId="836"/>
    <cellStyle name="Heading 1 17" xfId="837"/>
    <cellStyle name="Heading 1 18" xfId="838"/>
    <cellStyle name="Heading 1 2" xfId="839"/>
    <cellStyle name="Heading 1 3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13" xfId="850"/>
    <cellStyle name="Heading 2 14" xfId="851"/>
    <cellStyle name="Heading 2 15" xfId="852"/>
    <cellStyle name="Heading 2 16" xfId="853"/>
    <cellStyle name="Heading 2 17" xfId="854"/>
    <cellStyle name="Heading 2 18" xfId="855"/>
    <cellStyle name="Heading 2 2" xfId="856"/>
    <cellStyle name="Heading 2 3" xfId="857"/>
    <cellStyle name="Heading 2 4" xfId="858"/>
    <cellStyle name="Heading 2 5" xfId="859"/>
    <cellStyle name="Heading 2 6" xfId="860"/>
    <cellStyle name="Heading 2 7" xfId="861"/>
    <cellStyle name="Heading 2 8" xfId="862"/>
    <cellStyle name="Heading 2 9" xfId="863"/>
    <cellStyle name="Heading 3 10" xfId="864"/>
    <cellStyle name="Heading 3 11" xfId="865"/>
    <cellStyle name="Heading 3 12" xfId="866"/>
    <cellStyle name="Heading 3 13" xfId="867"/>
    <cellStyle name="Heading 3 14" xfId="868"/>
    <cellStyle name="Heading 3 15" xfId="869"/>
    <cellStyle name="Heading 3 16" xfId="870"/>
    <cellStyle name="Heading 3 17" xfId="871"/>
    <cellStyle name="Heading 3 18" xfId="872"/>
    <cellStyle name="Heading 3 2" xfId="873"/>
    <cellStyle name="Heading 3 3" xfId="874"/>
    <cellStyle name="Heading 3 4" xfId="875"/>
    <cellStyle name="Heading 3 5" xfId="876"/>
    <cellStyle name="Heading 3 6" xfId="877"/>
    <cellStyle name="Heading 3 7" xfId="878"/>
    <cellStyle name="Heading 3 8" xfId="879"/>
    <cellStyle name="Heading 3 9" xfId="880"/>
    <cellStyle name="Heading 4 10" xfId="881"/>
    <cellStyle name="Heading 4 11" xfId="882"/>
    <cellStyle name="Heading 4 12" xfId="883"/>
    <cellStyle name="Heading 4 13" xfId="884"/>
    <cellStyle name="Heading 4 14" xfId="885"/>
    <cellStyle name="Heading 4 15" xfId="886"/>
    <cellStyle name="Heading 4 16" xfId="887"/>
    <cellStyle name="Heading 4 17" xfId="888"/>
    <cellStyle name="Heading 4 18" xfId="889"/>
    <cellStyle name="Heading 4 2" xfId="890"/>
    <cellStyle name="Heading 4 3" xfId="891"/>
    <cellStyle name="Heading 4 4" xfId="892"/>
    <cellStyle name="Heading 4 5" xfId="893"/>
    <cellStyle name="Heading 4 6" xfId="894"/>
    <cellStyle name="Heading 4 7" xfId="895"/>
    <cellStyle name="Heading 4 8" xfId="896"/>
    <cellStyle name="Heading 4 9" xfId="897"/>
    <cellStyle name="Hyperlink 2" xfId="194"/>
    <cellStyle name="Input 10" xfId="898"/>
    <cellStyle name="Input 11" xfId="899"/>
    <cellStyle name="Input 12" xfId="900"/>
    <cellStyle name="Input 13" xfId="901"/>
    <cellStyle name="Input 14" xfId="902"/>
    <cellStyle name="Input 15" xfId="903"/>
    <cellStyle name="Input 16" xfId="904"/>
    <cellStyle name="Input 17" xfId="905"/>
    <cellStyle name="Input 18" xfId="906"/>
    <cellStyle name="Input 2" xfId="907"/>
    <cellStyle name="Input 3" xfId="908"/>
    <cellStyle name="Input 4" xfId="909"/>
    <cellStyle name="Input 5" xfId="910"/>
    <cellStyle name="Input 6" xfId="911"/>
    <cellStyle name="Input 7" xfId="912"/>
    <cellStyle name="Input 8" xfId="913"/>
    <cellStyle name="Input 9" xfId="914"/>
    <cellStyle name="Linked Cell 10" xfId="915"/>
    <cellStyle name="Linked Cell 11" xfId="916"/>
    <cellStyle name="Linked Cell 12" xfId="917"/>
    <cellStyle name="Linked Cell 13" xfId="918"/>
    <cellStyle name="Linked Cell 14" xfId="919"/>
    <cellStyle name="Linked Cell 15" xfId="920"/>
    <cellStyle name="Linked Cell 16" xfId="921"/>
    <cellStyle name="Linked Cell 17" xfId="922"/>
    <cellStyle name="Linked Cell 18" xfId="923"/>
    <cellStyle name="Linked Cell 2" xfId="924"/>
    <cellStyle name="Linked Cell 3" xfId="925"/>
    <cellStyle name="Linked Cell 4" xfId="926"/>
    <cellStyle name="Linked Cell 5" xfId="927"/>
    <cellStyle name="Linked Cell 6" xfId="928"/>
    <cellStyle name="Linked Cell 7" xfId="929"/>
    <cellStyle name="Linked Cell 8" xfId="930"/>
    <cellStyle name="Linked Cell 9" xfId="931"/>
    <cellStyle name="Neutral 10" xfId="932"/>
    <cellStyle name="Neutral 11" xfId="933"/>
    <cellStyle name="Neutral 12" xfId="934"/>
    <cellStyle name="Neutral 13" xfId="935"/>
    <cellStyle name="Neutral 14" xfId="936"/>
    <cellStyle name="Neutral 15" xfId="937"/>
    <cellStyle name="Neutral 16" xfId="938"/>
    <cellStyle name="Neutral 17" xfId="939"/>
    <cellStyle name="Neutral 18" xfId="940"/>
    <cellStyle name="Neutral 2" xfId="941"/>
    <cellStyle name="Neutral 3" xfId="942"/>
    <cellStyle name="Neutral 4" xfId="943"/>
    <cellStyle name="Neutral 5" xfId="944"/>
    <cellStyle name="Neutral 6" xfId="945"/>
    <cellStyle name="Neutral 7" xfId="946"/>
    <cellStyle name="Neutral 8" xfId="947"/>
    <cellStyle name="Neutral 9" xfId="948"/>
    <cellStyle name="Normal" xfId="0" builtinId="0"/>
    <cellStyle name="Normal 10" xfId="25"/>
    <cellStyle name="Normal 10 2" xfId="128"/>
    <cellStyle name="Normal 10 2 2" xfId="208"/>
    <cellStyle name="Normal 10 3" xfId="239"/>
    <cellStyle name="Normal 100" xfId="1056"/>
    <cellStyle name="Normal 100 2" xfId="1880"/>
    <cellStyle name="Normal 101" xfId="1058"/>
    <cellStyle name="Normal 102" xfId="1060"/>
    <cellStyle name="Normal 103" xfId="1894"/>
    <cellStyle name="Normal 104" xfId="189"/>
    <cellStyle name="Normal 11" xfId="18"/>
    <cellStyle name="Normal 11 2" xfId="240"/>
    <cellStyle name="Normal 12" xfId="129"/>
    <cellStyle name="Normal 12 2" xfId="241"/>
    <cellStyle name="Normal 13" xfId="130"/>
    <cellStyle name="Normal 13 2" xfId="203"/>
    <cellStyle name="Normal 13 3" xfId="242"/>
    <cellStyle name="Normal 14" xfId="131"/>
    <cellStyle name="Normal 14 2" xfId="243"/>
    <cellStyle name="Normal 15" xfId="132"/>
    <cellStyle name="Normal 15 2" xfId="244"/>
    <cellStyle name="Normal 16" xfId="134"/>
    <cellStyle name="Normal 16 2" xfId="245"/>
    <cellStyle name="Normal 17" xfId="136"/>
    <cellStyle name="Normal 17 2" xfId="246"/>
    <cellStyle name="Normal 18" xfId="31"/>
    <cellStyle name="Normal 18 2" xfId="247"/>
    <cellStyle name="Normal 19" xfId="13"/>
    <cellStyle name="Normal 19 2" xfId="248"/>
    <cellStyle name="Normal 2" xfId="138"/>
    <cellStyle name="Normal 2 10" xfId="139"/>
    <cellStyle name="Normal 2 10 2" xfId="202"/>
    <cellStyle name="Normal 2 11" xfId="140"/>
    <cellStyle name="Normal 2 12" xfId="141"/>
    <cellStyle name="Normal 2 13" xfId="142"/>
    <cellStyle name="Normal 2 14" xfId="9"/>
    <cellStyle name="Normal 2 15" xfId="60"/>
    <cellStyle name="Normal 2 16" xfId="143"/>
    <cellStyle name="Normal 2 17" xfId="144"/>
    <cellStyle name="Normal 2 18" xfId="145"/>
    <cellStyle name="Normal 2 19" xfId="146"/>
    <cellStyle name="Normal 2 2" xfId="147"/>
    <cellStyle name="Normal 2 2 2" xfId="148"/>
    <cellStyle name="Normal 2 2 3" xfId="149"/>
    <cellStyle name="Normal 2 20" xfId="195"/>
    <cellStyle name="Normal 2 3" xfId="150"/>
    <cellStyle name="Normal 2 3 2" xfId="151"/>
    <cellStyle name="Normal 2 4" xfId="152"/>
    <cellStyle name="Normal 2 4 2" xfId="153"/>
    <cellStyle name="Normal 2 5" xfId="154"/>
    <cellStyle name="Normal 2 5 2" xfId="155"/>
    <cellStyle name="Normal 2 6" xfId="156"/>
    <cellStyle name="Normal 2 6 2" xfId="157"/>
    <cellStyle name="Normal 2 7" xfId="158"/>
    <cellStyle name="Normal 2 7 2" xfId="159"/>
    <cellStyle name="Normal 2 8" xfId="69"/>
    <cellStyle name="Normal 2 8 2" xfId="160"/>
    <cellStyle name="Normal 2 9" xfId="161"/>
    <cellStyle name="Normal 20" xfId="133"/>
    <cellStyle name="Normal 20 2" xfId="249"/>
    <cellStyle name="Normal 21" xfId="135"/>
    <cellStyle name="Normal 21 2" xfId="250"/>
    <cellStyle name="Normal 22" xfId="137"/>
    <cellStyle name="Normal 22 2" xfId="251"/>
    <cellStyle name="Normal 23" xfId="32"/>
    <cellStyle name="Normal 23 2" xfId="252"/>
    <cellStyle name="Normal 24" xfId="12"/>
    <cellStyle name="Normal 24 2" xfId="253"/>
    <cellStyle name="Normal 25" xfId="39"/>
    <cellStyle name="Normal 25 2" xfId="254"/>
    <cellStyle name="Normal 26" xfId="43"/>
    <cellStyle name="Normal 26 2" xfId="255"/>
    <cellStyle name="Normal 27" xfId="47"/>
    <cellStyle name="Normal 27 2" xfId="256"/>
    <cellStyle name="Normal 28" xfId="56"/>
    <cellStyle name="Normal 28 2" xfId="257"/>
    <cellStyle name="Normal 29" xfId="52"/>
    <cellStyle name="Normal 29 2" xfId="201"/>
    <cellStyle name="Normal 29 3" xfId="258"/>
    <cellStyle name="Normal 3" xfId="162"/>
    <cellStyle name="Normal 3 2" xfId="163"/>
    <cellStyle name="Normal 3 3" xfId="164"/>
    <cellStyle name="Normal 3 4" xfId="165"/>
    <cellStyle name="Normal 3 5" xfId="259"/>
    <cellStyle name="Normal 30" xfId="40"/>
    <cellStyle name="Normal 30 2" xfId="260"/>
    <cellStyle name="Normal 30 5" xfId="193"/>
    <cellStyle name="Normal 31" xfId="44"/>
    <cellStyle name="Normal 31 2" xfId="261"/>
    <cellStyle name="Normal 32" xfId="48"/>
    <cellStyle name="Normal 32 2" xfId="262"/>
    <cellStyle name="Normal 33" xfId="57"/>
    <cellStyle name="Normal 33 2" xfId="263"/>
    <cellStyle name="Normal 34" xfId="53"/>
    <cellStyle name="Normal 34 2" xfId="264"/>
    <cellStyle name="Normal 35" xfId="65"/>
    <cellStyle name="Normal 35 2" xfId="265"/>
    <cellStyle name="Normal 36" xfId="3"/>
    <cellStyle name="Normal 36 2" xfId="185"/>
    <cellStyle name="Normal 36 2 2" xfId="266"/>
    <cellStyle name="Normal 37" xfId="77"/>
    <cellStyle name="Normal 37 2" xfId="267"/>
    <cellStyle name="Normal 38" xfId="88"/>
    <cellStyle name="Normal 38 2" xfId="268"/>
    <cellStyle name="Normal 39" xfId="93"/>
    <cellStyle name="Normal 39 2" xfId="200"/>
    <cellStyle name="Normal 39 3" xfId="269"/>
    <cellStyle name="Normal 4" xfId="166"/>
    <cellStyle name="Normal 4 2" xfId="167"/>
    <cellStyle name="Normal 4 3" xfId="168"/>
    <cellStyle name="Normal 4 4" xfId="169"/>
    <cellStyle name="Normal 4 5" xfId="270"/>
    <cellStyle name="Normal 40" xfId="66"/>
    <cellStyle name="Normal 40 2" xfId="271"/>
    <cellStyle name="Normal 41" xfId="72"/>
    <cellStyle name="Normal 41 2" xfId="272"/>
    <cellStyle name="Normal 42" xfId="186"/>
    <cellStyle name="Normal 42 2" xfId="273"/>
    <cellStyle name="Normal 43" xfId="183"/>
    <cellStyle name="Normal 43 2" xfId="274"/>
    <cellStyle name="Normal 43 3" xfId="209"/>
    <cellStyle name="Normal 44" xfId="275"/>
    <cellStyle name="Normal 45" xfId="276"/>
    <cellStyle name="Normal 46" xfId="277"/>
    <cellStyle name="Normal 47" xfId="278"/>
    <cellStyle name="Normal 48" xfId="279"/>
    <cellStyle name="Normal 49" xfId="280"/>
    <cellStyle name="Normal 5" xfId="170"/>
    <cellStyle name="Normal 5 2" xfId="171"/>
    <cellStyle name="Normal 5 3" xfId="8"/>
    <cellStyle name="Normal 5 4" xfId="5"/>
    <cellStyle name="Normal 5 5" xfId="281"/>
    <cellStyle name="Normal 50" xfId="282"/>
    <cellStyle name="Normal 51" xfId="283"/>
    <cellStyle name="Normal 52" xfId="284"/>
    <cellStyle name="Normal 53" xfId="285"/>
    <cellStyle name="Normal 54" xfId="286"/>
    <cellStyle name="Normal 55" xfId="287"/>
    <cellStyle name="Normal 56" xfId="288"/>
    <cellStyle name="Normal 57" xfId="289"/>
    <cellStyle name="Normal 58" xfId="290"/>
    <cellStyle name="Normal 59" xfId="291"/>
    <cellStyle name="Normal 6" xfId="172"/>
    <cellStyle name="Normal 6 2" xfId="173"/>
    <cellStyle name="Normal 6 2 2" xfId="204"/>
    <cellStyle name="Normal 6 3" xfId="7"/>
    <cellStyle name="Normal 6 4" xfId="292"/>
    <cellStyle name="Normal 60" xfId="293"/>
    <cellStyle name="Normal 61" xfId="294"/>
    <cellStyle name="Normal 62" xfId="295"/>
    <cellStyle name="Normal 63" xfId="296"/>
    <cellStyle name="Normal 64" xfId="297"/>
    <cellStyle name="Normal 65" xfId="298"/>
    <cellStyle name="Normal 66" xfId="299"/>
    <cellStyle name="Normal 67" xfId="300"/>
    <cellStyle name="Normal 68" xfId="301"/>
    <cellStyle name="Normal 69" xfId="302"/>
    <cellStyle name="Normal 7" xfId="174"/>
    <cellStyle name="Normal 7 2" xfId="6"/>
    <cellStyle name="Normal 7 2 2" xfId="205"/>
    <cellStyle name="Normal 7 3" xfId="175"/>
    <cellStyle name="Normal 7 4" xfId="303"/>
    <cellStyle name="Normal 70" xfId="304"/>
    <cellStyle name="Normal 71" xfId="305"/>
    <cellStyle name="Normal 72" xfId="306"/>
    <cellStyle name="Normal 73" xfId="307"/>
    <cellStyle name="Normal 74" xfId="308"/>
    <cellStyle name="Normal 75" xfId="309"/>
    <cellStyle name="Normal 76" xfId="310"/>
    <cellStyle name="Normal 77" xfId="311"/>
    <cellStyle name="Normal 78" xfId="312"/>
    <cellStyle name="Normal 79" xfId="313"/>
    <cellStyle name="Normal 8" xfId="176"/>
    <cellStyle name="Normal 8 2" xfId="177"/>
    <cellStyle name="Normal 8 2 2" xfId="206"/>
    <cellStyle name="Normal 8 3" xfId="178"/>
    <cellStyle name="Normal 8 4" xfId="314"/>
    <cellStyle name="Normal 80" xfId="315"/>
    <cellStyle name="Normal 81" xfId="949"/>
    <cellStyle name="Normal 82" xfId="950"/>
    <cellStyle name="Normal 83" xfId="951"/>
    <cellStyle name="Normal 84" xfId="952"/>
    <cellStyle name="Normal 85" xfId="953"/>
    <cellStyle name="Normal 86" xfId="954"/>
    <cellStyle name="Normal 87" xfId="955"/>
    <cellStyle name="Normal 88" xfId="956"/>
    <cellStyle name="Normal 89" xfId="1050"/>
    <cellStyle name="Normal 9" xfId="179"/>
    <cellStyle name="Normal 9 2" xfId="180"/>
    <cellStyle name="Normal 9 2 2" xfId="207"/>
    <cellStyle name="Normal 9 3" xfId="27"/>
    <cellStyle name="Normal 9 4" xfId="316"/>
    <cellStyle name="Normal 90" xfId="957"/>
    <cellStyle name="Normal 91" xfId="1051"/>
    <cellStyle name="Normal 92" xfId="958"/>
    <cellStyle name="Normal 93" xfId="334"/>
    <cellStyle name="Normal 94" xfId="959"/>
    <cellStyle name="Normal 95" xfId="960"/>
    <cellStyle name="Normal 96" xfId="961"/>
    <cellStyle name="Normal 97" xfId="962"/>
    <cellStyle name="Normal 98" xfId="1055"/>
    <cellStyle name="Normal 98 2" xfId="1059"/>
    <cellStyle name="Normal 99" xfId="1057"/>
    <cellStyle name="Normal 99 10" xfId="1061"/>
    <cellStyle name="Normal 99 11" xfId="1062"/>
    <cellStyle name="Normal 99 12" xfId="1063"/>
    <cellStyle name="Normal 99 13" xfId="1064"/>
    <cellStyle name="Normal 99 14" xfId="1065"/>
    <cellStyle name="Normal 99 15" xfId="1066"/>
    <cellStyle name="Normal 99 2" xfId="1067"/>
    <cellStyle name="Normal 99 3" xfId="1068"/>
    <cellStyle name="Normal 99 4" xfId="1069"/>
    <cellStyle name="Normal 99 5" xfId="1070"/>
    <cellStyle name="Normal 99 6" xfId="1071"/>
    <cellStyle name="Normal 99 7" xfId="1072"/>
    <cellStyle name="Normal 99 8" xfId="1073"/>
    <cellStyle name="Normal 99 9" xfId="1074"/>
    <cellStyle name="Note 10" xfId="963"/>
    <cellStyle name="Note 11" xfId="964"/>
    <cellStyle name="Note 12" xfId="965"/>
    <cellStyle name="Note 13" xfId="966"/>
    <cellStyle name="Note 14" xfId="967"/>
    <cellStyle name="Note 15" xfId="968"/>
    <cellStyle name="Note 16" xfId="969"/>
    <cellStyle name="Note 17" xfId="970"/>
    <cellStyle name="Note 18" xfId="971"/>
    <cellStyle name="Note 2" xfId="972"/>
    <cellStyle name="Note 3" xfId="973"/>
    <cellStyle name="Note 4" xfId="974"/>
    <cellStyle name="Note 5" xfId="975"/>
    <cellStyle name="Note 6" xfId="976"/>
    <cellStyle name="Note 7" xfId="977"/>
    <cellStyle name="Note 8" xfId="978"/>
    <cellStyle name="Note 9" xfId="979"/>
    <cellStyle name="Output 10" xfId="980"/>
    <cellStyle name="Output 11" xfId="981"/>
    <cellStyle name="Output 12" xfId="982"/>
    <cellStyle name="Output 13" xfId="983"/>
    <cellStyle name="Output 14" xfId="984"/>
    <cellStyle name="Output 15" xfId="985"/>
    <cellStyle name="Output 16" xfId="986"/>
    <cellStyle name="Output 17" xfId="987"/>
    <cellStyle name="Output 18" xfId="988"/>
    <cellStyle name="Output 2" xfId="989"/>
    <cellStyle name="Output 3" xfId="990"/>
    <cellStyle name="Output 4" xfId="991"/>
    <cellStyle name="Output 5" xfId="992"/>
    <cellStyle name="Output 6" xfId="993"/>
    <cellStyle name="Output 7" xfId="994"/>
    <cellStyle name="Output 8" xfId="995"/>
    <cellStyle name="Output 9" xfId="996"/>
    <cellStyle name="Percent 2" xfId="181"/>
    <cellStyle name="Percent 2 2" xfId="182"/>
    <cellStyle name="Style 1" xfId="1881"/>
    <cellStyle name="Style 2" xfId="1882"/>
    <cellStyle name="TableStyleLight1" xfId="191"/>
    <cellStyle name="Title 10" xfId="997"/>
    <cellStyle name="Title 11" xfId="998"/>
    <cellStyle name="Title 12" xfId="999"/>
    <cellStyle name="Title 13" xfId="1000"/>
    <cellStyle name="Title 14" xfId="1001"/>
    <cellStyle name="Title 15" xfId="1002"/>
    <cellStyle name="Title 16" xfId="1003"/>
    <cellStyle name="Title 17" xfId="1004"/>
    <cellStyle name="Title 18" xfId="1005"/>
    <cellStyle name="Title 2" xfId="1006"/>
    <cellStyle name="Title 3" xfId="1007"/>
    <cellStyle name="Title 4" xfId="1008"/>
    <cellStyle name="Title 5" xfId="1009"/>
    <cellStyle name="Title 6" xfId="1010"/>
    <cellStyle name="Title 7" xfId="1011"/>
    <cellStyle name="Title 8" xfId="1012"/>
    <cellStyle name="Title 9" xfId="1013"/>
    <cellStyle name="Total 10" xfId="1014"/>
    <cellStyle name="Total 11" xfId="1015"/>
    <cellStyle name="Total 12" xfId="1016"/>
    <cellStyle name="Total 13" xfId="1017"/>
    <cellStyle name="Total 14" xfId="1018"/>
    <cellStyle name="Total 15" xfId="1019"/>
    <cellStyle name="Total 16" xfId="1020"/>
    <cellStyle name="Total 17" xfId="1021"/>
    <cellStyle name="Total 18" xfId="1022"/>
    <cellStyle name="Total 2" xfId="1023"/>
    <cellStyle name="Total 3" xfId="1024"/>
    <cellStyle name="Total 4" xfId="1025"/>
    <cellStyle name="Total 5" xfId="1026"/>
    <cellStyle name="Total 6" xfId="1027"/>
    <cellStyle name="Total 7" xfId="1028"/>
    <cellStyle name="Total 8" xfId="1029"/>
    <cellStyle name="Total 9" xfId="1030"/>
    <cellStyle name="Warning Text 10" xfId="1031"/>
    <cellStyle name="Warning Text 11" xfId="1032"/>
    <cellStyle name="Warning Text 12" xfId="1033"/>
    <cellStyle name="Warning Text 13" xfId="1034"/>
    <cellStyle name="Warning Text 14" xfId="1035"/>
    <cellStyle name="Warning Text 15" xfId="1036"/>
    <cellStyle name="Warning Text 16" xfId="1037"/>
    <cellStyle name="Warning Text 17" xfId="1038"/>
    <cellStyle name="Warning Text 18" xfId="1039"/>
    <cellStyle name="Warning Text 2" xfId="1040"/>
    <cellStyle name="Warning Text 3" xfId="1041"/>
    <cellStyle name="Warning Text 4" xfId="1042"/>
    <cellStyle name="Warning Text 5" xfId="1043"/>
    <cellStyle name="Warning Text 6" xfId="1044"/>
    <cellStyle name="Warning Text 7" xfId="1045"/>
    <cellStyle name="Warning Text 8" xfId="1046"/>
    <cellStyle name="Warning Text 9" xfId="10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00\Downloads\UPDATE%20JATUH%20TEMPO%202020%20(1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LA/LAPORAN/LAPORAN%20CASH%20FLOW%20TH%202021/CASHFLOW%20AND%20RECEIPT%20JUL%20'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rbilang.xla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00-20K\Downloads\Kombinasi%20Terbilang.xlam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"/>
      <sheetName val="FBI DIFI"/>
      <sheetName val="MIN DIFI"/>
      <sheetName val="ARNOTT'S"/>
      <sheetName val="AGB-SGI"/>
      <sheetName val="DBW"/>
      <sheetName val="EVER"/>
      <sheetName val="GIM"/>
      <sheetName val="JPA SMG-SLT"/>
      <sheetName val="MBR FD"/>
      <sheetName val="MBR LS"/>
      <sheetName val="YTI"/>
      <sheetName val="JPA ROLLOVER"/>
      <sheetName val="MNP ROLLOVER"/>
      <sheetName val="AI SEASONAL"/>
      <sheetName val="MIN KANVA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1">
          <cell r="J121">
            <v>127512000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STAT"/>
      <sheetName val="RECEIPT"/>
      <sheetName val="BANK STAT"/>
      <sheetName val="ATTACH"/>
      <sheetName val="LIST CEK"/>
      <sheetName val="PROJECT"/>
      <sheetName val="BCA"/>
      <sheetName val="HSBC ITF"/>
      <sheetName val="HSBC 15 HR"/>
      <sheetName val="HSBC"/>
      <sheetName val="OCBC"/>
      <sheetName val="UOB"/>
      <sheetName val="CONTROL PAYMENT 2021"/>
      <sheetName val="INSENTIF DROPP"/>
      <sheetName val="CONTROL PICKUP"/>
      <sheetName val="REKAP RENTOKIL"/>
      <sheetName val="REKAP PAJAK "/>
      <sheetName val="REKAP SEWA"/>
      <sheetName val="REKAP BG "/>
      <sheetName val="CONTROL PAYMENT 2020"/>
      <sheetName val="REKAP LEASING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C20">
            <v>1017596763</v>
          </cell>
        </row>
        <row r="21">
          <cell r="C21">
            <v>444723393</v>
          </cell>
        </row>
        <row r="22">
          <cell r="C22">
            <v>449449440</v>
          </cell>
        </row>
        <row r="23">
          <cell r="C23">
            <v>679208622</v>
          </cell>
        </row>
        <row r="24">
          <cell r="C24">
            <v>1286994620</v>
          </cell>
        </row>
      </sheetData>
      <sheetData sheetId="10"/>
      <sheetData sheetId="11">
        <row r="11">
          <cell r="C11">
            <v>302781919</v>
          </cell>
        </row>
        <row r="12">
          <cell r="C12">
            <v>438582765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rbilang"/>
    </sheetNames>
    <definedNames>
      <definedName name="terbilang"/>
    </defined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ww.Kelasexcel.web.id"/>
    </sheetNames>
    <definedNames>
      <definedName name="TERBILANG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60"/>
  <sheetViews>
    <sheetView zoomScale="80" zoomScaleNormal="80" workbookViewId="0">
      <pane xSplit="3" ySplit="6" topLeftCell="X37" activePane="bottomRight" state="frozen"/>
      <selection pane="topRight" activeCell="D1" sqref="D1"/>
      <selection pane="bottomLeft" activeCell="A7" sqref="A7"/>
      <selection pane="bottomRight" activeCell="AC23" sqref="AC23"/>
    </sheetView>
  </sheetViews>
  <sheetFormatPr defaultColWidth="8.7109375" defaultRowHeight="12.75"/>
  <cols>
    <col min="1" max="1" width="29.140625" style="3" bestFit="1" customWidth="1"/>
    <col min="2" max="2" width="12.5703125" style="3" customWidth="1"/>
    <col min="3" max="3" width="19.85546875" style="3" customWidth="1"/>
    <col min="4" max="4" width="16.140625" style="3" customWidth="1"/>
    <col min="5" max="6" width="12.5703125" style="3" customWidth="1"/>
    <col min="7" max="7" width="16.7109375" style="3" customWidth="1"/>
    <col min="8" max="8" width="17" style="3" customWidth="1"/>
    <col min="9" max="9" width="17.42578125" style="3" customWidth="1"/>
    <col min="10" max="10" width="17.5703125" style="3" customWidth="1"/>
    <col min="11" max="11" width="17.140625" style="3" customWidth="1"/>
    <col min="12" max="12" width="16.5703125" style="3" customWidth="1"/>
    <col min="13" max="13" width="12.5703125" style="3" customWidth="1"/>
    <col min="14" max="14" width="16.5703125" style="3" customWidth="1"/>
    <col min="15" max="15" width="16.85546875" style="3" customWidth="1"/>
    <col min="16" max="16" width="16" style="3" customWidth="1"/>
    <col min="17" max="17" width="15.85546875" style="3" customWidth="1"/>
    <col min="18" max="18" width="14.42578125" style="3" customWidth="1"/>
    <col min="19" max="20" width="12.5703125" style="3" customWidth="1"/>
    <col min="21" max="22" width="15.28515625" style="3" customWidth="1"/>
    <col min="23" max="23" width="16.5703125" style="3" customWidth="1"/>
    <col min="24" max="24" width="17" style="3" customWidth="1"/>
    <col min="25" max="25" width="16" style="3" customWidth="1"/>
    <col min="26" max="26" width="15.28515625" style="3" customWidth="1"/>
    <col min="27" max="27" width="12.5703125" style="3" customWidth="1"/>
    <col min="28" max="28" width="15.5703125" style="3" customWidth="1"/>
    <col min="29" max="29" width="16.140625" style="3" customWidth="1"/>
    <col min="30" max="33" width="12.5703125" style="3" customWidth="1"/>
    <col min="34" max="34" width="17.42578125" style="3" customWidth="1"/>
    <col min="35" max="35" width="10.7109375" style="3" customWidth="1"/>
    <col min="36" max="36" width="12.85546875" style="3" customWidth="1"/>
    <col min="37" max="37" width="11.28515625" style="3" bestFit="1" customWidth="1"/>
    <col min="38" max="16384" width="8.7109375" style="3"/>
  </cols>
  <sheetData>
    <row r="1" spans="1: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s="6" customForma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>
      <c r="A3" s="7" t="s">
        <v>2</v>
      </c>
      <c r="B3" s="8">
        <v>44075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>
      <c r="A4" s="34" t="s">
        <v>3</v>
      </c>
      <c r="B4" s="35" t="s">
        <v>4</v>
      </c>
      <c r="C4" s="384" t="s">
        <v>5</v>
      </c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6"/>
      <c r="AH4" s="36" t="s">
        <v>6</v>
      </c>
      <c r="AI4" s="6"/>
    </row>
    <row r="5" spans="1:35">
      <c r="A5" s="34"/>
      <c r="B5" s="35"/>
      <c r="C5" s="37">
        <v>44105</v>
      </c>
      <c r="D5" s="37">
        <f>C5+1</f>
        <v>44106</v>
      </c>
      <c r="E5" s="37">
        <f t="shared" ref="E5:AG5" si="0">D5+1</f>
        <v>44107</v>
      </c>
      <c r="F5" s="9">
        <f t="shared" si="0"/>
        <v>44108</v>
      </c>
      <c r="G5" s="37">
        <f t="shared" si="0"/>
        <v>44109</v>
      </c>
      <c r="H5" s="37">
        <f t="shared" si="0"/>
        <v>44110</v>
      </c>
      <c r="I5" s="37">
        <f t="shared" si="0"/>
        <v>44111</v>
      </c>
      <c r="J5" s="37">
        <f t="shared" si="0"/>
        <v>44112</v>
      </c>
      <c r="K5" s="37">
        <f t="shared" si="0"/>
        <v>44113</v>
      </c>
      <c r="L5" s="37">
        <f t="shared" si="0"/>
        <v>44114</v>
      </c>
      <c r="M5" s="9">
        <f t="shared" si="0"/>
        <v>44115</v>
      </c>
      <c r="N5" s="37">
        <f t="shared" si="0"/>
        <v>44116</v>
      </c>
      <c r="O5" s="37">
        <f t="shared" si="0"/>
        <v>44117</v>
      </c>
      <c r="P5" s="37">
        <f t="shared" si="0"/>
        <v>44118</v>
      </c>
      <c r="Q5" s="37">
        <f t="shared" si="0"/>
        <v>44119</v>
      </c>
      <c r="R5" s="37">
        <f t="shared" si="0"/>
        <v>44120</v>
      </c>
      <c r="S5" s="37">
        <f t="shared" si="0"/>
        <v>44121</v>
      </c>
      <c r="T5" s="9">
        <f t="shared" si="0"/>
        <v>44122</v>
      </c>
      <c r="U5" s="37">
        <f t="shared" si="0"/>
        <v>44123</v>
      </c>
      <c r="V5" s="37">
        <f t="shared" si="0"/>
        <v>44124</v>
      </c>
      <c r="W5" s="37">
        <f t="shared" si="0"/>
        <v>44125</v>
      </c>
      <c r="X5" s="37">
        <f t="shared" si="0"/>
        <v>44126</v>
      </c>
      <c r="Y5" s="37">
        <f t="shared" si="0"/>
        <v>44127</v>
      </c>
      <c r="Z5" s="37">
        <f t="shared" si="0"/>
        <v>44128</v>
      </c>
      <c r="AA5" s="9">
        <f t="shared" si="0"/>
        <v>44129</v>
      </c>
      <c r="AB5" s="37">
        <f t="shared" si="0"/>
        <v>44130</v>
      </c>
      <c r="AC5" s="37">
        <f t="shared" si="0"/>
        <v>44131</v>
      </c>
      <c r="AD5" s="37">
        <f t="shared" si="0"/>
        <v>44132</v>
      </c>
      <c r="AE5" s="37">
        <f t="shared" si="0"/>
        <v>44133</v>
      </c>
      <c r="AF5" s="37">
        <f t="shared" si="0"/>
        <v>44134</v>
      </c>
      <c r="AG5" s="37">
        <f t="shared" si="0"/>
        <v>44135</v>
      </c>
      <c r="AH5" s="36"/>
      <c r="AI5" s="6"/>
    </row>
    <row r="6" spans="1:35">
      <c r="A6" s="10" t="s">
        <v>7</v>
      </c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P6" s="14"/>
      <c r="Q6" s="14"/>
      <c r="R6" s="14"/>
      <c r="S6" s="14"/>
      <c r="T6" s="12"/>
      <c r="U6" s="12"/>
      <c r="V6" s="12"/>
      <c r="W6" s="12"/>
      <c r="X6" s="12"/>
      <c r="Y6" s="12"/>
      <c r="Z6" s="14"/>
      <c r="AA6" s="14"/>
      <c r="AB6" s="12"/>
      <c r="AC6" s="12"/>
      <c r="AD6" s="12"/>
      <c r="AE6" s="12"/>
      <c r="AF6" s="12"/>
      <c r="AG6" s="12"/>
      <c r="AH6" s="12"/>
      <c r="AI6" s="6"/>
    </row>
    <row r="7" spans="1:35">
      <c r="A7" s="15" t="s">
        <v>48</v>
      </c>
      <c r="B7" s="11"/>
      <c r="C7" s="16">
        <v>0</v>
      </c>
      <c r="D7" s="33">
        <v>0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P7" s="33">
        <v>819111150</v>
      </c>
      <c r="Q7" s="33">
        <v>0</v>
      </c>
      <c r="R7" s="33">
        <v>0</v>
      </c>
      <c r="S7" s="33">
        <v>0</v>
      </c>
      <c r="T7" s="33">
        <v>0</v>
      </c>
      <c r="U7" s="33">
        <v>0</v>
      </c>
      <c r="V7" s="33">
        <v>0</v>
      </c>
      <c r="W7" s="33">
        <v>0</v>
      </c>
      <c r="X7" s="33">
        <v>0</v>
      </c>
      <c r="Y7" s="33">
        <v>0</v>
      </c>
      <c r="Z7" s="33">
        <v>0</v>
      </c>
      <c r="AA7" s="33">
        <v>0</v>
      </c>
      <c r="AB7" s="33">
        <v>0</v>
      </c>
      <c r="AC7" s="33">
        <v>0</v>
      </c>
      <c r="AD7" s="33">
        <v>0</v>
      </c>
      <c r="AE7" s="33">
        <v>0</v>
      </c>
      <c r="AF7" s="33">
        <v>0</v>
      </c>
      <c r="AG7" s="33">
        <v>0</v>
      </c>
      <c r="AH7" s="14">
        <f t="shared" ref="AH7:AH32" si="1">SUM(C7:AG7)</f>
        <v>819111150</v>
      </c>
      <c r="AI7" s="17"/>
    </row>
    <row r="8" spans="1:35">
      <c r="A8" s="15" t="s">
        <v>49</v>
      </c>
      <c r="B8" s="11"/>
      <c r="C8" s="16">
        <v>0</v>
      </c>
      <c r="D8" s="33">
        <v>0</v>
      </c>
      <c r="E8" s="33">
        <v>0</v>
      </c>
      <c r="F8" s="33">
        <v>0</v>
      </c>
      <c r="G8" s="33">
        <f>218790000+205128000+95554800+99792000+100623600+54252000</f>
        <v>774140400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51994800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14">
        <f t="shared" si="1"/>
        <v>826135200</v>
      </c>
      <c r="AI8" s="17"/>
    </row>
    <row r="9" spans="1:35">
      <c r="A9" s="15" t="s">
        <v>8</v>
      </c>
      <c r="B9" s="11"/>
      <c r="C9" s="16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O9" s="33">
        <v>258386164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/>
      <c r="V9" s="33">
        <f>143289951-1756756-94911629</f>
        <v>46621566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14">
        <f t="shared" si="1"/>
        <v>305007730</v>
      </c>
      <c r="AI9" s="17"/>
    </row>
    <row r="10" spans="1:35">
      <c r="A10" s="15" t="s">
        <v>9</v>
      </c>
      <c r="B10" s="11"/>
      <c r="C10" s="16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14">
        <f>SUM(C10:AG10)</f>
        <v>0</v>
      </c>
      <c r="AI10" s="17"/>
    </row>
    <row r="11" spans="1:35">
      <c r="A11" s="15" t="s">
        <v>10</v>
      </c>
      <c r="B11" s="11"/>
      <c r="C11" s="16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O11" s="41"/>
      <c r="P11" s="33">
        <f>174000000-7124450</f>
        <v>166875550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14">
        <f t="shared" si="1"/>
        <v>166875550</v>
      </c>
      <c r="AI11" s="17"/>
    </row>
    <row r="12" spans="1:35">
      <c r="A12" s="15" t="s">
        <v>11</v>
      </c>
      <c r="B12" s="11"/>
      <c r="C12" s="16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14">
        <f t="shared" si="1"/>
        <v>0</v>
      </c>
      <c r="AI12" s="17"/>
    </row>
    <row r="13" spans="1:35">
      <c r="A13" s="18" t="s">
        <v>12</v>
      </c>
      <c r="B13" s="11"/>
      <c r="C13" s="16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14">
        <f t="shared" si="1"/>
        <v>0</v>
      </c>
      <c r="AI13" s="17"/>
    </row>
    <row r="14" spans="1:35">
      <c r="A14" s="18" t="s">
        <v>13</v>
      </c>
      <c r="B14" s="11"/>
      <c r="C14" s="16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14">
        <f>SUM(C14:AG14)</f>
        <v>0</v>
      </c>
      <c r="AI14" s="17"/>
    </row>
    <row r="15" spans="1:35">
      <c r="A15" s="18" t="s">
        <v>14</v>
      </c>
      <c r="B15" s="11"/>
      <c r="C15" s="16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14">
        <f>SUM(C15:AG15)</f>
        <v>0</v>
      </c>
      <c r="AI15" s="17"/>
    </row>
    <row r="16" spans="1:35">
      <c r="A16" s="15" t="s">
        <v>15</v>
      </c>
      <c r="B16" s="11"/>
      <c r="C16" s="16">
        <v>0</v>
      </c>
      <c r="D16" s="33">
        <v>0</v>
      </c>
      <c r="E16" s="33">
        <v>0</v>
      </c>
      <c r="F16" s="33">
        <v>0</v>
      </c>
      <c r="G16" s="33">
        <v>119964240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200795760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101930400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14">
        <f t="shared" si="1"/>
        <v>422690400</v>
      </c>
      <c r="AI16" s="17"/>
    </row>
    <row r="17" spans="1:37">
      <c r="A17" s="15" t="s">
        <v>16</v>
      </c>
      <c r="B17" s="11"/>
      <c r="C17" s="16">
        <v>0</v>
      </c>
      <c r="D17" s="33">
        <v>0</v>
      </c>
      <c r="E17" s="33">
        <v>0</v>
      </c>
      <c r="F17" s="33">
        <v>0</v>
      </c>
      <c r="G17" s="33">
        <v>110701559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14">
        <f t="shared" si="1"/>
        <v>110701559</v>
      </c>
      <c r="AI17" s="17"/>
    </row>
    <row r="18" spans="1:37">
      <c r="A18" s="15" t="s">
        <v>17</v>
      </c>
      <c r="B18" s="11"/>
      <c r="C18" s="16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14">
        <f t="shared" si="1"/>
        <v>0</v>
      </c>
      <c r="AI18" s="17"/>
    </row>
    <row r="19" spans="1:37">
      <c r="A19" s="15" t="s">
        <v>18</v>
      </c>
      <c r="B19" s="11"/>
      <c r="C19" s="16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14">
        <f t="shared" si="1"/>
        <v>0</v>
      </c>
      <c r="AI19" s="17"/>
    </row>
    <row r="20" spans="1:37" ht="15">
      <c r="A20" s="15" t="s">
        <v>19</v>
      </c>
      <c r="B20" s="11"/>
      <c r="C20" s="16">
        <v>0</v>
      </c>
      <c r="D20" s="33">
        <v>0</v>
      </c>
      <c r="E20" s="33">
        <v>0</v>
      </c>
      <c r="F20" s="33">
        <v>0</v>
      </c>
      <c r="G20" s="38">
        <f>223250000+226850000+226850000+231600000</f>
        <v>908550000</v>
      </c>
      <c r="H20" s="33">
        <v>0</v>
      </c>
      <c r="I20" s="38">
        <v>230250000</v>
      </c>
      <c r="J20" s="33">
        <v>0</v>
      </c>
      <c r="K20" s="38"/>
      <c r="L20" s="33">
        <v>0</v>
      </c>
      <c r="M20" s="33">
        <v>0</v>
      </c>
      <c r="O20" s="33">
        <v>460500000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14">
        <f t="shared" si="1"/>
        <v>1599300000</v>
      </c>
      <c r="AI20" s="17"/>
    </row>
    <row r="21" spans="1:37" ht="15">
      <c r="A21" s="15" t="s">
        <v>20</v>
      </c>
      <c r="B21" s="11"/>
      <c r="C21" s="16">
        <v>0</v>
      </c>
      <c r="D21" s="33">
        <v>0</v>
      </c>
      <c r="E21" s="33">
        <v>0</v>
      </c>
      <c r="F21" s="33">
        <v>0</v>
      </c>
      <c r="G21" s="39">
        <v>247504554</v>
      </c>
      <c r="H21" s="33">
        <v>0</v>
      </c>
      <c r="I21" s="33">
        <v>0</v>
      </c>
      <c r="J21" s="33">
        <f>117136086+178684552</f>
        <v>295820638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14">
        <f t="shared" si="1"/>
        <v>543325192</v>
      </c>
      <c r="AI21" s="17"/>
    </row>
    <row r="22" spans="1:37">
      <c r="A22" s="15" t="s">
        <v>43</v>
      </c>
      <c r="B22" s="11"/>
      <c r="C22" s="16">
        <v>0</v>
      </c>
      <c r="D22" s="33">
        <v>0</v>
      </c>
      <c r="E22" s="33">
        <v>0</v>
      </c>
      <c r="F22" s="33">
        <v>0</v>
      </c>
      <c r="G22" s="33">
        <v>88189446</v>
      </c>
      <c r="H22" s="33">
        <v>0</v>
      </c>
      <c r="I22" s="33">
        <v>0</v>
      </c>
      <c r="J22" s="33"/>
      <c r="K22" s="33">
        <f>81182640+138411600</f>
        <v>219594240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f>'[1]JPA SMG-SLT'!$J$121</f>
        <v>127512000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14">
        <f t="shared" si="1"/>
        <v>435295686</v>
      </c>
      <c r="AI22" s="17"/>
    </row>
    <row r="23" spans="1:37">
      <c r="A23" s="15" t="s">
        <v>44</v>
      </c>
      <c r="B23" s="11"/>
      <c r="C23" s="16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f>83693210-24064626</f>
        <v>59628584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f>679604958-105519310</f>
        <v>574085648</v>
      </c>
      <c r="AD23" s="33">
        <v>0</v>
      </c>
      <c r="AE23" s="33">
        <v>0</v>
      </c>
      <c r="AF23" s="33">
        <v>0</v>
      </c>
      <c r="AG23" s="33">
        <v>0</v>
      </c>
      <c r="AH23" s="14">
        <f>SUM(C23:AG23)</f>
        <v>633714232</v>
      </c>
      <c r="AI23" s="17"/>
    </row>
    <row r="24" spans="1:37">
      <c r="A24" s="15" t="s">
        <v>21</v>
      </c>
      <c r="B24" s="11"/>
      <c r="C24" s="16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14">
        <f t="shared" si="1"/>
        <v>0</v>
      </c>
      <c r="AI24" s="17"/>
    </row>
    <row r="25" spans="1:37">
      <c r="A25" s="15" t="s">
        <v>22</v>
      </c>
      <c r="B25" s="11"/>
      <c r="C25" s="16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14">
        <f t="shared" si="1"/>
        <v>0</v>
      </c>
      <c r="AI25" s="17"/>
    </row>
    <row r="26" spans="1:37">
      <c r="A26" s="15" t="s">
        <v>23</v>
      </c>
      <c r="B26" s="11"/>
      <c r="C26" s="16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14">
        <f t="shared" si="1"/>
        <v>0</v>
      </c>
      <c r="AI26" s="17"/>
    </row>
    <row r="27" spans="1:37">
      <c r="A27" s="15" t="s">
        <v>45</v>
      </c>
      <c r="B27" s="11"/>
      <c r="C27" s="16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236775000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41"/>
      <c r="AC27" s="41"/>
      <c r="AD27" s="33">
        <v>0</v>
      </c>
      <c r="AE27" s="33">
        <v>0</v>
      </c>
      <c r="AF27" s="33">
        <v>0</v>
      </c>
      <c r="AG27" s="33">
        <v>0</v>
      </c>
      <c r="AH27" s="14">
        <f t="shared" si="1"/>
        <v>236775000</v>
      </c>
      <c r="AI27" s="17"/>
      <c r="AJ27" s="33">
        <v>245437500</v>
      </c>
      <c r="AK27" s="44">
        <v>44137</v>
      </c>
    </row>
    <row r="28" spans="1:37">
      <c r="A28" s="15" t="s">
        <v>24</v>
      </c>
      <c r="B28" s="11"/>
      <c r="C28" s="16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f>204921417+60829442+3117310</f>
        <v>268868169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177805030</v>
      </c>
      <c r="R28" s="33">
        <v>0</v>
      </c>
      <c r="S28" s="33">
        <v>0</v>
      </c>
      <c r="T28" s="33">
        <v>0</v>
      </c>
      <c r="U28" s="33">
        <v>268403837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f>6927350-2781418</f>
        <v>4145932</v>
      </c>
      <c r="AD28" s="33">
        <v>0</v>
      </c>
      <c r="AE28" s="33">
        <v>0</v>
      </c>
      <c r="AF28" s="33">
        <v>0</v>
      </c>
      <c r="AG28" s="33">
        <v>0</v>
      </c>
      <c r="AH28" s="14">
        <f>SUM(C28:AG28)</f>
        <v>719222968</v>
      </c>
      <c r="AI28" s="17"/>
    </row>
    <row r="29" spans="1:37">
      <c r="A29" s="15" t="s">
        <v>25</v>
      </c>
      <c r="B29" s="11"/>
      <c r="C29" s="16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14">
        <f>SUM(C29:AG29)</f>
        <v>0</v>
      </c>
      <c r="AI29" s="17"/>
    </row>
    <row r="30" spans="1:37">
      <c r="A30" s="15" t="s">
        <v>26</v>
      </c>
      <c r="B30" s="11"/>
      <c r="C30" s="16">
        <f>90867879+40407027+15720046+2900</f>
        <v>146997852</v>
      </c>
      <c r="D30" s="33"/>
      <c r="E30" s="33"/>
      <c r="F30" s="33"/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/>
      <c r="N30" s="33"/>
      <c r="O30" s="33"/>
      <c r="P30" s="33"/>
      <c r="Q30" s="33"/>
      <c r="R30" s="33"/>
      <c r="S30" s="33"/>
      <c r="T30" s="33"/>
      <c r="U30" s="33">
        <v>256580369</v>
      </c>
      <c r="V30" s="33"/>
      <c r="W30" s="33"/>
      <c r="X30" s="33"/>
      <c r="Y30" s="33"/>
      <c r="Z30" s="33"/>
      <c r="AA30" s="33"/>
      <c r="AB30" s="33">
        <f>82878606+47993837+119399713</f>
        <v>250272156</v>
      </c>
      <c r="AC30" s="33"/>
      <c r="AD30" s="33"/>
      <c r="AE30" s="33"/>
      <c r="AF30" s="33"/>
      <c r="AG30" s="33"/>
      <c r="AH30" s="14">
        <f>SUM(C30:AG30)</f>
        <v>653850377</v>
      </c>
      <c r="AI30" s="17"/>
    </row>
    <row r="31" spans="1:37" ht="15">
      <c r="A31" s="15" t="s">
        <v>27</v>
      </c>
      <c r="B31" s="11"/>
      <c r="C31" s="16">
        <v>0</v>
      </c>
      <c r="D31" s="16">
        <f>65087500+95250000+95250000+92075000-263387524</f>
        <v>84274976</v>
      </c>
      <c r="E31" s="33">
        <v>0</v>
      </c>
      <c r="F31" s="33">
        <v>0</v>
      </c>
      <c r="G31" s="33">
        <v>0</v>
      </c>
      <c r="H31" s="38">
        <f>95250000+107950000</f>
        <v>203200000</v>
      </c>
      <c r="I31" s="38">
        <f>95250000+95250000+107950000</f>
        <v>298450000</v>
      </c>
      <c r="J31" s="33">
        <v>0</v>
      </c>
      <c r="K31" s="33">
        <v>0</v>
      </c>
      <c r="L31" s="33">
        <v>0</v>
      </c>
      <c r="M31" s="33">
        <v>0</v>
      </c>
      <c r="N31" s="33">
        <v>50800000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51000000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14">
        <f t="shared" si="1"/>
        <v>687724976</v>
      </c>
      <c r="AI31" s="17"/>
    </row>
    <row r="32" spans="1:37">
      <c r="A32" s="15" t="s">
        <v>28</v>
      </c>
      <c r="B32" s="11"/>
      <c r="C32" s="16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14">
        <f t="shared" si="1"/>
        <v>0</v>
      </c>
      <c r="AI32" s="17"/>
    </row>
    <row r="33" spans="1:35">
      <c r="A33" s="15" t="s">
        <v>29</v>
      </c>
      <c r="B33" s="11"/>
      <c r="C33" s="16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100679754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100679754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100317315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14">
        <f>SUM(C33:AG33)</f>
        <v>301676823</v>
      </c>
      <c r="AI33" s="17"/>
    </row>
    <row r="34" spans="1:35">
      <c r="A34" s="15" t="s">
        <v>30</v>
      </c>
      <c r="B34" s="11"/>
      <c r="C34" s="16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14">
        <f>SUM(C34:AG34)</f>
        <v>0</v>
      </c>
      <c r="AI34" s="17"/>
    </row>
    <row r="35" spans="1:35">
      <c r="A35" s="15" t="s">
        <v>31</v>
      </c>
      <c r="B35" s="11"/>
      <c r="C35" s="16">
        <v>0</v>
      </c>
      <c r="D35" s="33">
        <v>0</v>
      </c>
      <c r="E35" s="33">
        <v>0</v>
      </c>
      <c r="F35" s="33">
        <v>0</v>
      </c>
      <c r="G35" s="33">
        <v>2030133</v>
      </c>
      <c r="H35" s="33">
        <f>8774975+35099900+17549950+17549950</f>
        <v>78974775</v>
      </c>
      <c r="I35" s="33">
        <v>17549950</v>
      </c>
      <c r="J35" s="33">
        <f>26324925+8774975+8774975</f>
        <v>43874875</v>
      </c>
      <c r="K35" s="33">
        <v>0</v>
      </c>
      <c r="L35" s="33">
        <v>0</v>
      </c>
      <c r="M35" s="33">
        <v>0</v>
      </c>
      <c r="N35" s="33">
        <v>17549950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14">
        <f>SUM(C35:AG35)</f>
        <v>159979683</v>
      </c>
      <c r="AI35" s="17"/>
    </row>
    <row r="36" spans="1:35">
      <c r="A36" s="32" t="s">
        <v>46</v>
      </c>
      <c r="B36" s="11"/>
      <c r="C36" s="16">
        <v>0</v>
      </c>
      <c r="D36" s="16">
        <v>263387524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f>114377778+22725000</f>
        <v>137102778</v>
      </c>
      <c r="K36" s="33">
        <v>0</v>
      </c>
      <c r="L36" s="33">
        <v>0</v>
      </c>
      <c r="M36" s="33">
        <v>0</v>
      </c>
      <c r="N36" s="33">
        <v>450000000</v>
      </c>
      <c r="O36" s="33">
        <v>0</v>
      </c>
      <c r="P36" s="33"/>
      <c r="Q36" s="33">
        <v>98559935</v>
      </c>
      <c r="R36" s="33">
        <v>0</v>
      </c>
      <c r="S36" s="33">
        <v>0</v>
      </c>
      <c r="T36" s="33">
        <v>0</v>
      </c>
      <c r="U36" s="33">
        <f>60126338+4333778</f>
        <v>64460116</v>
      </c>
      <c r="V36" s="33">
        <f>1117328+1041341</f>
        <v>2158669</v>
      </c>
      <c r="W36" s="33">
        <v>1500000000</v>
      </c>
      <c r="X36" s="33">
        <v>350000000</v>
      </c>
      <c r="Y36" s="33">
        <v>106225000</v>
      </c>
      <c r="Z36" s="33">
        <v>0</v>
      </c>
      <c r="AA36" s="33">
        <v>0</v>
      </c>
      <c r="AB36" s="33">
        <v>1500000000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14">
        <f>SUM(C36:AG36)</f>
        <v>4471894022</v>
      </c>
      <c r="AI36" s="17"/>
    </row>
    <row r="37" spans="1:35">
      <c r="A37" s="32" t="s">
        <v>47</v>
      </c>
      <c r="B37" s="11"/>
      <c r="C37" s="16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f>4035195+29758970</f>
        <v>33794165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450000000</v>
      </c>
      <c r="V37" s="33">
        <v>0</v>
      </c>
      <c r="W37" s="33">
        <v>70125000</v>
      </c>
      <c r="X37" s="33">
        <v>0</v>
      </c>
      <c r="Y37" s="33">
        <v>0</v>
      </c>
      <c r="Z37" s="33">
        <v>0</v>
      </c>
      <c r="AA37" s="33">
        <v>0</v>
      </c>
      <c r="AB37" s="33">
        <f>2587529+12686355</f>
        <v>15273884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14">
        <f>SUM(C37:AG37)</f>
        <v>569193049</v>
      </c>
      <c r="AI37" s="17"/>
    </row>
    <row r="38" spans="1:35">
      <c r="A38" s="19" t="s">
        <v>32</v>
      </c>
      <c r="B38" s="20"/>
      <c r="C38" s="21">
        <f t="shared" ref="C38:P38" si="2">SUM(C7:C37)</f>
        <v>146997852</v>
      </c>
      <c r="D38" s="21">
        <f t="shared" si="2"/>
        <v>347662500</v>
      </c>
      <c r="E38" s="21">
        <f t="shared" si="2"/>
        <v>0</v>
      </c>
      <c r="F38" s="21">
        <f t="shared" si="2"/>
        <v>0</v>
      </c>
      <c r="G38" s="21">
        <f t="shared" si="2"/>
        <v>2251080332</v>
      </c>
      <c r="H38" s="21">
        <f t="shared" si="2"/>
        <v>282174775</v>
      </c>
      <c r="I38" s="21">
        <f t="shared" si="2"/>
        <v>815118119</v>
      </c>
      <c r="J38" s="21">
        <f t="shared" si="2"/>
        <v>476798291</v>
      </c>
      <c r="K38" s="21">
        <f t="shared" si="2"/>
        <v>320273994</v>
      </c>
      <c r="L38" s="21">
        <f t="shared" si="2"/>
        <v>0</v>
      </c>
      <c r="M38" s="21">
        <f t="shared" si="2"/>
        <v>0</v>
      </c>
      <c r="N38" s="21">
        <f>SUM(N7:N37)</f>
        <v>552144115</v>
      </c>
      <c r="O38" s="21">
        <f>SUM(O8:O37)</f>
        <v>770880964</v>
      </c>
      <c r="P38" s="21">
        <f t="shared" si="2"/>
        <v>985986700</v>
      </c>
      <c r="Q38" s="21">
        <f t="shared" ref="Q38:AG38" si="3">SUM(Q7:Q37)</f>
        <v>713935725</v>
      </c>
      <c r="R38" s="21">
        <f t="shared" si="3"/>
        <v>0</v>
      </c>
      <c r="S38" s="21">
        <f t="shared" si="3"/>
        <v>0</v>
      </c>
      <c r="T38" s="21">
        <f t="shared" si="3"/>
        <v>0</v>
      </c>
      <c r="U38" s="21">
        <f t="shared" si="3"/>
        <v>1191124076</v>
      </c>
      <c r="V38" s="21">
        <f t="shared" si="3"/>
        <v>108408819</v>
      </c>
      <c r="W38" s="21">
        <f>SUM(W7:W37)</f>
        <v>1697637000</v>
      </c>
      <c r="X38" s="21">
        <f t="shared" si="3"/>
        <v>350000000</v>
      </c>
      <c r="Y38" s="21">
        <f t="shared" si="3"/>
        <v>106225000</v>
      </c>
      <c r="Z38" s="21">
        <f t="shared" si="3"/>
        <v>0</v>
      </c>
      <c r="AA38" s="21">
        <f t="shared" si="3"/>
        <v>0</v>
      </c>
      <c r="AB38" s="21">
        <f t="shared" si="3"/>
        <v>1967793755</v>
      </c>
      <c r="AC38" s="21">
        <f t="shared" si="3"/>
        <v>578231580</v>
      </c>
      <c r="AD38" s="21">
        <f t="shared" si="3"/>
        <v>0</v>
      </c>
      <c r="AE38" s="21">
        <f t="shared" si="3"/>
        <v>0</v>
      </c>
      <c r="AF38" s="21">
        <f t="shared" si="3"/>
        <v>0</v>
      </c>
      <c r="AG38" s="21">
        <f t="shared" si="3"/>
        <v>0</v>
      </c>
      <c r="AH38" s="21">
        <f>SUM(AH7:AH37)</f>
        <v>13662473597</v>
      </c>
    </row>
    <row r="39" spans="1:35" ht="5.25" customHeight="1">
      <c r="A39" s="22"/>
      <c r="B39" s="11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2"/>
      <c r="AD39" s="12"/>
      <c r="AE39" s="12"/>
      <c r="AF39" s="12"/>
      <c r="AG39" s="12"/>
      <c r="AH39" s="23"/>
      <c r="AI39" s="6"/>
    </row>
    <row r="40" spans="1:35">
      <c r="A40" s="24" t="s">
        <v>33</v>
      </c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23"/>
      <c r="AI40" s="6"/>
    </row>
    <row r="41" spans="1:35">
      <c r="A41" s="25" t="s">
        <v>34</v>
      </c>
      <c r="B41" s="26"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468603261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3">
        <f t="shared" ref="AH41:AH49" si="4">SUM(C41:AG41)</f>
        <v>468603261</v>
      </c>
      <c r="AI41" s="17"/>
    </row>
    <row r="42" spans="1:35">
      <c r="A42" s="25" t="s">
        <v>35</v>
      </c>
      <c r="B42" s="26">
        <v>0</v>
      </c>
      <c r="C42" s="16">
        <f>221507357+1464804243</f>
        <v>1686311600</v>
      </c>
      <c r="D42" s="16">
        <f>1123192789+465172486</f>
        <v>1588365275</v>
      </c>
      <c r="E42" s="26">
        <v>0</v>
      </c>
      <c r="F42" s="26">
        <v>0</v>
      </c>
      <c r="G42" s="26">
        <v>0</v>
      </c>
      <c r="H42" s="16">
        <f>480642457+1040830263+980008411</f>
        <v>2501481131</v>
      </c>
      <c r="I42" s="26">
        <v>0</v>
      </c>
      <c r="J42" s="16">
        <f>3001610524+717963840</f>
        <v>3719574364</v>
      </c>
      <c r="K42" s="16"/>
      <c r="L42" s="26">
        <v>0</v>
      </c>
      <c r="M42" s="26">
        <v>0</v>
      </c>
      <c r="N42" s="26">
        <v>2295030886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f>482656899+1226325393+457162634</f>
        <v>2166144926</v>
      </c>
      <c r="V42" s="26">
        <v>1190625684</v>
      </c>
      <c r="W42" s="26">
        <v>0</v>
      </c>
      <c r="X42" s="26">
        <f>1452424293+722096769</f>
        <v>2174521062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3">
        <f t="shared" si="4"/>
        <v>17322054928</v>
      </c>
      <c r="AI42" s="17"/>
    </row>
    <row r="43" spans="1:35">
      <c r="A43" s="25" t="s">
        <v>36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3">
        <f t="shared" si="4"/>
        <v>0</v>
      </c>
      <c r="AI43" s="17"/>
    </row>
    <row r="44" spans="1:35">
      <c r="A44" s="11" t="s">
        <v>53</v>
      </c>
      <c r="B44" s="26">
        <v>0</v>
      </c>
      <c r="C44" s="26">
        <f>166811190+447310476</f>
        <v>614121666</v>
      </c>
      <c r="D44" s="26">
        <v>792801438</v>
      </c>
      <c r="E44" s="26">
        <v>0</v>
      </c>
      <c r="F44" s="26">
        <v>0</v>
      </c>
      <c r="G44" s="26">
        <f>751797719+106184658</f>
        <v>857982377</v>
      </c>
      <c r="H44" s="26">
        <v>0</v>
      </c>
      <c r="I44" s="26">
        <v>1023771377</v>
      </c>
      <c r="J44" s="26">
        <v>0</v>
      </c>
      <c r="K44" s="26">
        <v>1023383617</v>
      </c>
      <c r="L44" s="26">
        <v>0</v>
      </c>
      <c r="M44" s="26">
        <v>0</v>
      </c>
      <c r="N44" s="26">
        <v>785768076</v>
      </c>
      <c r="O44" s="26">
        <v>749636688</v>
      </c>
      <c r="P44" s="41"/>
      <c r="Q44" s="26">
        <v>681634841</v>
      </c>
      <c r="R44" s="26">
        <v>0</v>
      </c>
      <c r="S44" s="26">
        <v>0</v>
      </c>
      <c r="T44" s="26">
        <v>0</v>
      </c>
      <c r="U44" s="26">
        <v>0</v>
      </c>
      <c r="V44" s="26">
        <v>1017969490</v>
      </c>
      <c r="W44" s="26">
        <v>500413321</v>
      </c>
      <c r="X44" s="41"/>
      <c r="Y44" s="26">
        <v>589806292</v>
      </c>
      <c r="Z44" s="26">
        <v>0</v>
      </c>
      <c r="AA44" s="26">
        <v>0</v>
      </c>
      <c r="AB44" s="26">
        <v>1041480079</v>
      </c>
      <c r="AC44" s="26">
        <v>1261507204</v>
      </c>
      <c r="AD44" s="26">
        <v>0</v>
      </c>
      <c r="AE44" s="26">
        <v>0</v>
      </c>
      <c r="AF44" s="26">
        <v>0</v>
      </c>
      <c r="AG44" s="26">
        <v>0</v>
      </c>
      <c r="AH44" s="23">
        <f t="shared" si="4"/>
        <v>10940276466</v>
      </c>
      <c r="AI44" s="17"/>
    </row>
    <row r="45" spans="1:35">
      <c r="A45" s="11" t="s">
        <v>54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41"/>
      <c r="Q45" s="26"/>
      <c r="R45" s="26"/>
      <c r="S45" s="26"/>
      <c r="T45" s="26"/>
      <c r="U45" s="26"/>
      <c r="V45" s="26"/>
      <c r="W45" s="26"/>
      <c r="X45" s="41"/>
      <c r="Y45" s="26">
        <v>673573220</v>
      </c>
      <c r="AA45" s="26"/>
      <c r="AB45" s="26"/>
      <c r="AC45" s="26"/>
      <c r="AD45" s="26"/>
      <c r="AE45" s="26"/>
      <c r="AF45" s="26"/>
      <c r="AG45" s="26"/>
      <c r="AH45" s="23"/>
      <c r="AI45" s="17"/>
    </row>
    <row r="46" spans="1:35">
      <c r="A46" s="11" t="s">
        <v>37</v>
      </c>
      <c r="B46" s="26">
        <v>0</v>
      </c>
      <c r="C46" s="16">
        <f>84532585+149954161+118914048+204569811+257553961+301608384+85039865+4371840+1294064+897538+374979953</f>
        <v>1583716210</v>
      </c>
      <c r="D46" s="26">
        <f>82103155+109149106+16822840+712609+119459070+21567744+193750621+39436910+2841696+4988608+14510137+7694438+641203+14234710+14234710+13492470+11623265+30684487</f>
        <v>697947779</v>
      </c>
      <c r="E46" s="26">
        <v>0</v>
      </c>
      <c r="F46" s="26">
        <v>0</v>
      </c>
      <c r="G46" s="26">
        <f>340534858+384966742</f>
        <v>725501600</v>
      </c>
      <c r="H46" s="26">
        <f>449928788+234078806+2191748</f>
        <v>686199342</v>
      </c>
      <c r="I46" s="26">
        <f>324970088+164819534+6569173+201202569</f>
        <v>697561364</v>
      </c>
      <c r="J46" s="26"/>
      <c r="K46" s="26">
        <f>733024299+663868906</f>
        <v>1396893205</v>
      </c>
      <c r="L46" s="26">
        <v>0</v>
      </c>
      <c r="M46" s="26">
        <v>0</v>
      </c>
      <c r="N46" s="26">
        <v>0</v>
      </c>
      <c r="O46" s="26">
        <v>692572918</v>
      </c>
      <c r="P46" s="41"/>
      <c r="Q46" s="26">
        <f>980765495</f>
        <v>980765495</v>
      </c>
      <c r="R46" s="26">
        <v>744982765</v>
      </c>
      <c r="S46" s="26">
        <v>0</v>
      </c>
      <c r="T46" s="26">
        <v>0</v>
      </c>
      <c r="U46" s="26"/>
      <c r="V46" s="26">
        <v>770712644</v>
      </c>
      <c r="W46" s="26">
        <v>987257457</v>
      </c>
      <c r="X46" s="42">
        <f>206875663+147129417+733453736</f>
        <v>1087458816</v>
      </c>
      <c r="Y46" s="42">
        <v>994357814</v>
      </c>
      <c r="Z46" s="26">
        <v>0</v>
      </c>
      <c r="AA46" s="26">
        <v>0</v>
      </c>
      <c r="AB46" s="42">
        <v>853188084</v>
      </c>
      <c r="AC46" s="26">
        <v>968048074</v>
      </c>
      <c r="AD46" s="26">
        <v>0</v>
      </c>
      <c r="AE46" s="26">
        <v>0</v>
      </c>
      <c r="AF46" s="26">
        <v>0</v>
      </c>
      <c r="AG46" s="26">
        <v>0</v>
      </c>
      <c r="AH46" s="23">
        <f>SUM(C46:AG46)</f>
        <v>13867163567</v>
      </c>
      <c r="AI46" s="17"/>
    </row>
    <row r="47" spans="1:35">
      <c r="A47" s="11" t="s">
        <v>38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f>94245212+108735238+4323264+9590651+15780593+213734+287119134+130606485+641203</f>
        <v>651255514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P47" s="26">
        <v>0</v>
      </c>
      <c r="Q47" s="41"/>
      <c r="R47" s="42">
        <v>832475908</v>
      </c>
      <c r="S47" s="26">
        <v>0</v>
      </c>
      <c r="T47" s="26">
        <v>0</v>
      </c>
      <c r="U47" s="26">
        <v>0</v>
      </c>
      <c r="V47" s="41"/>
      <c r="W47" s="41"/>
      <c r="X47" s="41"/>
      <c r="AA47" s="26">
        <v>0</v>
      </c>
      <c r="AB47" s="42">
        <v>887898237</v>
      </c>
      <c r="AC47" s="26">
        <v>0</v>
      </c>
      <c r="AD47" s="26">
        <v>0</v>
      </c>
      <c r="AE47" s="26">
        <v>0</v>
      </c>
      <c r="AF47" s="26">
        <v>0</v>
      </c>
      <c r="AG47" s="26">
        <v>0</v>
      </c>
      <c r="AH47" s="23">
        <f t="shared" si="4"/>
        <v>2371629659</v>
      </c>
      <c r="AI47" s="17"/>
    </row>
    <row r="48" spans="1:35">
      <c r="A48" s="11" t="s">
        <v>39</v>
      </c>
      <c r="B48" s="26">
        <v>0</v>
      </c>
      <c r="C48" s="26">
        <f>175723707+173568610+170546915+174885495+175000506</f>
        <v>869725233</v>
      </c>
      <c r="D48" s="26">
        <f>177318614+355050439+225339536+224781258</f>
        <v>982489847</v>
      </c>
      <c r="E48" s="26">
        <v>0</v>
      </c>
      <c r="F48" s="26">
        <v>0</v>
      </c>
      <c r="G48" s="26">
        <v>0</v>
      </c>
      <c r="H48" s="26">
        <f>211176962+198303710+189180786-10902500</f>
        <v>587758958</v>
      </c>
      <c r="I48" s="26">
        <f>170824940+178543255+165211299+190644663</f>
        <v>705224157</v>
      </c>
      <c r="J48" s="26"/>
      <c r="K48" s="26">
        <v>778393887</v>
      </c>
      <c r="L48" s="26">
        <v>0</v>
      </c>
      <c r="M48" s="26">
        <v>0</v>
      </c>
      <c r="N48" s="26">
        <f>703426019+706886614</f>
        <v>1410312633</v>
      </c>
      <c r="O48" s="26">
        <v>720911324</v>
      </c>
      <c r="P48" s="26">
        <v>794952739</v>
      </c>
      <c r="Q48" s="26">
        <v>733719071</v>
      </c>
      <c r="R48" s="26">
        <v>616863965</v>
      </c>
      <c r="S48" s="26">
        <v>0</v>
      </c>
      <c r="T48" s="26">
        <v>0</v>
      </c>
      <c r="U48" s="26"/>
      <c r="V48" s="26">
        <v>713039328</v>
      </c>
      <c r="W48" s="26">
        <v>1072343178</v>
      </c>
      <c r="X48" s="41"/>
      <c r="Y48" s="42">
        <f>30000+180922540+208310441+162489550+315050291</f>
        <v>866802822</v>
      </c>
      <c r="Z48" s="26">
        <v>0</v>
      </c>
      <c r="AA48" s="26">
        <v>0</v>
      </c>
      <c r="AB48" s="42">
        <v>876071654</v>
      </c>
      <c r="AC48" s="26">
        <v>680562858</v>
      </c>
      <c r="AD48" s="26">
        <v>0</v>
      </c>
      <c r="AE48" s="26">
        <v>0</v>
      </c>
      <c r="AF48" s="26">
        <v>0</v>
      </c>
      <c r="AG48" s="26">
        <v>0</v>
      </c>
      <c r="AH48" s="23">
        <f>SUM(C48:AG48)</f>
        <v>12409171654</v>
      </c>
      <c r="AI48" s="17"/>
    </row>
    <row r="49" spans="1:35">
      <c r="A49" s="11" t="s">
        <v>40</v>
      </c>
      <c r="B49" s="26"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f>242433629+141148354+199510064+197890933</f>
        <v>780982980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41"/>
      <c r="W49" s="41"/>
      <c r="X49" s="41"/>
      <c r="AA49" s="26">
        <v>0</v>
      </c>
      <c r="AB49" s="42">
        <v>817664132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23">
        <f t="shared" si="4"/>
        <v>1598647112</v>
      </c>
      <c r="AI49" s="17"/>
    </row>
    <row r="50" spans="1:35">
      <c r="A50" s="27" t="s">
        <v>41</v>
      </c>
      <c r="B50" s="28"/>
      <c r="C50" s="29">
        <f t="shared" ref="C50:AH50" si="5">SUM(C41:C49)</f>
        <v>4753874709</v>
      </c>
      <c r="D50" s="29">
        <f t="shared" si="5"/>
        <v>4061604339</v>
      </c>
      <c r="E50" s="29">
        <f t="shared" si="5"/>
        <v>0</v>
      </c>
      <c r="F50" s="29">
        <f t="shared" si="5"/>
        <v>0</v>
      </c>
      <c r="G50" s="29">
        <f t="shared" si="5"/>
        <v>1583483977</v>
      </c>
      <c r="H50" s="29">
        <f t="shared" si="5"/>
        <v>5207677925</v>
      </c>
      <c r="I50" s="29">
        <f t="shared" si="5"/>
        <v>2426556898</v>
      </c>
      <c r="J50" s="29">
        <f t="shared" si="5"/>
        <v>3719574364</v>
      </c>
      <c r="K50" s="29">
        <f t="shared" si="5"/>
        <v>3198670709</v>
      </c>
      <c r="L50" s="29">
        <f t="shared" si="5"/>
        <v>0</v>
      </c>
      <c r="M50" s="29">
        <f t="shared" si="5"/>
        <v>0</v>
      </c>
      <c r="N50" s="29">
        <f>SUM(N41:N49)</f>
        <v>4491111595</v>
      </c>
      <c r="O50" s="29">
        <f t="shared" si="5"/>
        <v>2163120930</v>
      </c>
      <c r="P50" s="29">
        <f t="shared" si="5"/>
        <v>794952739</v>
      </c>
      <c r="Q50" s="29">
        <f t="shared" si="5"/>
        <v>2396119407</v>
      </c>
      <c r="R50" s="29">
        <f t="shared" si="5"/>
        <v>2194322638</v>
      </c>
      <c r="S50" s="29">
        <f t="shared" si="5"/>
        <v>0</v>
      </c>
      <c r="T50" s="29">
        <f t="shared" si="5"/>
        <v>0</v>
      </c>
      <c r="U50" s="29">
        <f t="shared" si="5"/>
        <v>2166144926</v>
      </c>
      <c r="V50" s="29">
        <f>SUM(V41:V49)</f>
        <v>4160950407</v>
      </c>
      <c r="W50" s="29">
        <f>SUM(W41:W49)</f>
        <v>2560013956</v>
      </c>
      <c r="X50" s="29">
        <f>SUM(X41:X49)</f>
        <v>3261979878</v>
      </c>
      <c r="Y50" s="29">
        <f>SUM(Y41:Y49)</f>
        <v>3124540148</v>
      </c>
      <c r="Z50" s="29">
        <f>SUM(Z41:Z49)</f>
        <v>0</v>
      </c>
      <c r="AA50" s="29">
        <f t="shared" si="5"/>
        <v>0</v>
      </c>
      <c r="AB50" s="29">
        <f>SUM(AB41:AB49)</f>
        <v>4476302186</v>
      </c>
      <c r="AC50" s="29">
        <f t="shared" si="5"/>
        <v>2910118136</v>
      </c>
      <c r="AD50" s="29">
        <f t="shared" si="5"/>
        <v>0</v>
      </c>
      <c r="AE50" s="29">
        <f t="shared" si="5"/>
        <v>0</v>
      </c>
      <c r="AF50" s="29">
        <f t="shared" si="5"/>
        <v>0</v>
      </c>
      <c r="AG50" s="29">
        <f t="shared" si="5"/>
        <v>0</v>
      </c>
      <c r="AH50" s="30">
        <f t="shared" si="5"/>
        <v>58977546647</v>
      </c>
      <c r="AI50" s="6"/>
    </row>
    <row r="51" spans="1:35">
      <c r="A51" s="387" t="s">
        <v>42</v>
      </c>
      <c r="B51" s="388"/>
      <c r="C51" s="31">
        <f t="shared" ref="C51:AG51" si="6">C38+C50</f>
        <v>4900872561</v>
      </c>
      <c r="D51" s="31">
        <f t="shared" si="6"/>
        <v>4409266839</v>
      </c>
      <c r="E51" s="31">
        <f t="shared" si="6"/>
        <v>0</v>
      </c>
      <c r="F51" s="31">
        <f t="shared" si="6"/>
        <v>0</v>
      </c>
      <c r="G51" s="31">
        <f t="shared" si="6"/>
        <v>3834564309</v>
      </c>
      <c r="H51" s="31">
        <f t="shared" si="6"/>
        <v>5489852700</v>
      </c>
      <c r="I51" s="31">
        <f t="shared" si="6"/>
        <v>3241675017</v>
      </c>
      <c r="J51" s="31">
        <f t="shared" si="6"/>
        <v>4196372655</v>
      </c>
      <c r="K51" s="31">
        <f t="shared" si="6"/>
        <v>3518944703</v>
      </c>
      <c r="L51" s="31">
        <f t="shared" si="6"/>
        <v>0</v>
      </c>
      <c r="M51" s="31">
        <f t="shared" si="6"/>
        <v>0</v>
      </c>
      <c r="N51" s="31">
        <f t="shared" si="6"/>
        <v>5043255710</v>
      </c>
      <c r="O51" s="31">
        <f t="shared" si="6"/>
        <v>2934001894</v>
      </c>
      <c r="P51" s="31">
        <f t="shared" si="6"/>
        <v>1780939439</v>
      </c>
      <c r="Q51" s="31">
        <f t="shared" si="6"/>
        <v>3110055132</v>
      </c>
      <c r="R51" s="31">
        <f t="shared" si="6"/>
        <v>2194322638</v>
      </c>
      <c r="S51" s="31">
        <f t="shared" si="6"/>
        <v>0</v>
      </c>
      <c r="T51" s="31">
        <f t="shared" si="6"/>
        <v>0</v>
      </c>
      <c r="U51" s="31">
        <f t="shared" si="6"/>
        <v>3357269002</v>
      </c>
      <c r="V51" s="31">
        <f t="shared" si="6"/>
        <v>4269359226</v>
      </c>
      <c r="W51" s="31">
        <f t="shared" si="6"/>
        <v>4257650956</v>
      </c>
      <c r="X51" s="31">
        <f t="shared" si="6"/>
        <v>3611979878</v>
      </c>
      <c r="Y51" s="31">
        <f t="shared" si="6"/>
        <v>3230765148</v>
      </c>
      <c r="Z51" s="31">
        <f t="shared" si="6"/>
        <v>0</v>
      </c>
      <c r="AA51" s="31">
        <f t="shared" si="6"/>
        <v>0</v>
      </c>
      <c r="AB51" s="31">
        <f t="shared" si="6"/>
        <v>6444095941</v>
      </c>
      <c r="AC51" s="31">
        <f t="shared" si="6"/>
        <v>3488349716</v>
      </c>
      <c r="AD51" s="31">
        <f t="shared" si="6"/>
        <v>0</v>
      </c>
      <c r="AE51" s="31">
        <f t="shared" si="6"/>
        <v>0</v>
      </c>
      <c r="AF51" s="31">
        <f t="shared" si="6"/>
        <v>0</v>
      </c>
      <c r="AG51" s="31">
        <f t="shared" si="6"/>
        <v>0</v>
      </c>
      <c r="AH51" s="31">
        <f>SUM(C51:AG51)</f>
        <v>73313593464</v>
      </c>
    </row>
    <row r="53" spans="1:35">
      <c r="B53" s="3" t="s">
        <v>50</v>
      </c>
      <c r="I53" s="6">
        <v>4250681700</v>
      </c>
      <c r="J53" s="6">
        <v>4450547823</v>
      </c>
      <c r="K53" s="6">
        <v>3398258904</v>
      </c>
      <c r="N53" s="6">
        <v>4819673319</v>
      </c>
      <c r="O53" s="6">
        <v>3250562999</v>
      </c>
      <c r="P53" s="6">
        <v>2045961902</v>
      </c>
      <c r="Q53" s="6">
        <v>3585248256</v>
      </c>
      <c r="R53" s="6">
        <v>2319287522</v>
      </c>
      <c r="U53" s="6">
        <v>5124874378</v>
      </c>
      <c r="V53" s="6">
        <v>5140513908</v>
      </c>
      <c r="W53" s="6">
        <v>5790530465</v>
      </c>
      <c r="X53" s="6">
        <v>4026931763</v>
      </c>
      <c r="Y53" s="6">
        <v>3119138309</v>
      </c>
      <c r="AB53" s="6">
        <v>9098105817</v>
      </c>
    </row>
    <row r="54" spans="1:35">
      <c r="B54" s="3" t="s">
        <v>51</v>
      </c>
      <c r="J54" s="40">
        <f>J51-J53</f>
        <v>-254175168</v>
      </c>
      <c r="K54" s="40">
        <f>K51-K53</f>
        <v>120685799</v>
      </c>
      <c r="N54" s="40">
        <f>N51-N53</f>
        <v>223582391</v>
      </c>
      <c r="O54" s="40">
        <f>O51-O53</f>
        <v>-316561105</v>
      </c>
      <c r="P54" s="40">
        <f>P53-P51</f>
        <v>265022463</v>
      </c>
      <c r="Q54" s="40">
        <f>Q53-Q51</f>
        <v>475193124</v>
      </c>
      <c r="R54" s="43">
        <f>R53-R51</f>
        <v>124964884</v>
      </c>
      <c r="U54" s="40">
        <f>U53-U51</f>
        <v>1767605376</v>
      </c>
      <c r="V54" s="40">
        <f>V53-V51</f>
        <v>871154682</v>
      </c>
      <c r="W54" s="43">
        <f>W53-W51</f>
        <v>1532879509</v>
      </c>
      <c r="X54" s="40">
        <f>X53-X51</f>
        <v>414951885</v>
      </c>
      <c r="Y54" s="40">
        <f>Y53-Y51</f>
        <v>-111626839</v>
      </c>
      <c r="AB54" s="40">
        <f>AB53-AB51</f>
        <v>2654009876</v>
      </c>
    </row>
    <row r="58" spans="1:35">
      <c r="J58" s="33">
        <f>81182640-13529276</f>
        <v>67653364</v>
      </c>
      <c r="K58" s="26">
        <v>778393887</v>
      </c>
    </row>
    <row r="59" spans="1:35">
      <c r="J59" s="26">
        <v>733024299</v>
      </c>
      <c r="Q59" s="3" t="s">
        <v>52</v>
      </c>
    </row>
    <row r="60" spans="1:35">
      <c r="J60" s="26">
        <f>209920265+175706258+180266991+212500373</f>
        <v>778393887</v>
      </c>
    </row>
  </sheetData>
  <mergeCells count="2">
    <mergeCell ref="C4:AG4"/>
    <mergeCell ref="A51:B5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72"/>
  <sheetViews>
    <sheetView topLeftCell="A25" zoomScale="90" zoomScaleNormal="90" workbookViewId="0">
      <pane xSplit="1" topLeftCell="Y1" activePane="topRight" state="frozen"/>
      <selection activeCell="A5" sqref="A5"/>
      <selection pane="topRight" activeCell="AF42" sqref="AF42"/>
    </sheetView>
  </sheetViews>
  <sheetFormatPr defaultColWidth="8.7109375" defaultRowHeight="12.75"/>
  <cols>
    <col min="1" max="1" width="29.140625" style="3" bestFit="1" customWidth="1"/>
    <col min="2" max="2" width="7.7109375" style="3" customWidth="1"/>
    <col min="3" max="3" width="19.85546875" style="3" customWidth="1"/>
    <col min="4" max="5" width="16.140625" style="3" customWidth="1"/>
    <col min="6" max="6" width="15" style="3" customWidth="1"/>
    <col min="7" max="7" width="17.5703125" style="3" customWidth="1"/>
    <col min="8" max="8" width="17" style="3" customWidth="1"/>
    <col min="9" max="9" width="17.42578125" style="3" customWidth="1"/>
    <col min="10" max="10" width="17.5703125" style="3" customWidth="1"/>
    <col min="11" max="11" width="17.140625" style="3" customWidth="1"/>
    <col min="12" max="12" width="16.5703125" style="3" customWidth="1"/>
    <col min="13" max="13" width="17" style="3" customWidth="1"/>
    <col min="14" max="14" width="16.5703125" style="3" customWidth="1"/>
    <col min="15" max="15" width="16.85546875" style="3" customWidth="1"/>
    <col min="16" max="16" width="16" style="3" customWidth="1"/>
    <col min="17" max="17" width="15.85546875" style="3" customWidth="1"/>
    <col min="18" max="19" width="14.42578125" style="3" customWidth="1"/>
    <col min="20" max="20" width="14.5703125" style="3" customWidth="1"/>
    <col min="21" max="22" width="15.28515625" style="3" customWidth="1"/>
    <col min="23" max="23" width="16.5703125" style="3" customWidth="1"/>
    <col min="24" max="24" width="17" style="3" customWidth="1"/>
    <col min="25" max="25" width="16" style="3" customWidth="1"/>
    <col min="26" max="26" width="15.28515625" style="3" customWidth="1"/>
    <col min="27" max="27" width="13.85546875" style="3" customWidth="1"/>
    <col min="28" max="28" width="15.5703125" style="3" customWidth="1"/>
    <col min="29" max="29" width="16.140625" style="3" customWidth="1"/>
    <col min="30" max="30" width="15.85546875" style="3" customWidth="1"/>
    <col min="31" max="31" width="12.5703125" style="3" customWidth="1"/>
    <col min="32" max="32" width="14.85546875" style="3" customWidth="1"/>
    <col min="33" max="33" width="12.5703125" style="3" customWidth="1"/>
    <col min="34" max="34" width="17.42578125" style="3" customWidth="1"/>
    <col min="35" max="35" width="10.7109375" style="3" customWidth="1"/>
    <col min="36" max="36" width="12.85546875" style="3" customWidth="1"/>
    <col min="37" max="37" width="11.28515625" style="3" bestFit="1" customWidth="1"/>
    <col min="38" max="16384" width="8.7109375" style="3"/>
  </cols>
  <sheetData>
    <row r="1" spans="1: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s="6" customForma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>
      <c r="A3" s="7" t="s">
        <v>2</v>
      </c>
      <c r="B3" s="8">
        <v>44136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>
      <c r="A4" s="34" t="s">
        <v>3</v>
      </c>
      <c r="B4" s="35" t="s">
        <v>4</v>
      </c>
      <c r="C4" s="384" t="s">
        <v>5</v>
      </c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6"/>
      <c r="AH4" s="36" t="s">
        <v>6</v>
      </c>
      <c r="AI4" s="6"/>
    </row>
    <row r="5" spans="1:35">
      <c r="A5" s="34"/>
      <c r="B5" s="35"/>
      <c r="C5" s="37" t="s">
        <v>56</v>
      </c>
      <c r="D5" s="37" t="s">
        <v>55</v>
      </c>
      <c r="E5" s="37" t="s">
        <v>57</v>
      </c>
      <c r="F5" s="37" t="s">
        <v>58</v>
      </c>
      <c r="G5" s="37" t="s">
        <v>59</v>
      </c>
      <c r="H5" s="37" t="s">
        <v>60</v>
      </c>
      <c r="I5" s="37" t="s">
        <v>61</v>
      </c>
      <c r="J5" s="37" t="s">
        <v>62</v>
      </c>
      <c r="K5" s="37" t="s">
        <v>63</v>
      </c>
      <c r="L5" s="37" t="s">
        <v>65</v>
      </c>
      <c r="M5" s="37" t="s">
        <v>66</v>
      </c>
      <c r="N5" s="37" t="s">
        <v>67</v>
      </c>
      <c r="O5" s="37" t="s">
        <v>68</v>
      </c>
      <c r="P5" s="37" t="s">
        <v>69</v>
      </c>
      <c r="Q5" s="37" t="s">
        <v>70</v>
      </c>
      <c r="R5" s="37" t="s">
        <v>71</v>
      </c>
      <c r="S5" s="37" t="s">
        <v>72</v>
      </c>
      <c r="T5" s="37" t="s">
        <v>73</v>
      </c>
      <c r="U5" s="37" t="s">
        <v>74</v>
      </c>
      <c r="V5" s="37" t="s">
        <v>75</v>
      </c>
      <c r="W5" s="37" t="s">
        <v>76</v>
      </c>
      <c r="X5" s="37" t="s">
        <v>77</v>
      </c>
      <c r="Y5" s="37" t="s">
        <v>78</v>
      </c>
      <c r="Z5" s="37" t="s">
        <v>79</v>
      </c>
      <c r="AA5" s="37" t="s">
        <v>80</v>
      </c>
      <c r="AB5" s="37" t="s">
        <v>81</v>
      </c>
      <c r="AC5" s="37" t="s">
        <v>82</v>
      </c>
      <c r="AD5" s="37" t="s">
        <v>83</v>
      </c>
      <c r="AE5" s="37" t="s">
        <v>84</v>
      </c>
      <c r="AF5" s="37" t="s">
        <v>85</v>
      </c>
      <c r="AG5" s="37" t="s">
        <v>86</v>
      </c>
      <c r="AH5" s="36"/>
      <c r="AI5" s="6"/>
    </row>
    <row r="6" spans="1:35">
      <c r="A6" s="10" t="s">
        <v>7</v>
      </c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P6" s="14"/>
      <c r="Q6" s="14"/>
      <c r="R6" s="14"/>
      <c r="S6" s="14"/>
      <c r="T6" s="12"/>
      <c r="U6" s="12"/>
      <c r="V6" s="12"/>
      <c r="W6" s="12"/>
      <c r="X6" s="12"/>
      <c r="Y6" s="12"/>
      <c r="Z6" s="14"/>
      <c r="AA6" s="14"/>
      <c r="AB6" s="12"/>
      <c r="AC6" s="12"/>
      <c r="AD6" s="12"/>
      <c r="AE6" s="12"/>
      <c r="AF6" s="12"/>
      <c r="AG6" s="12"/>
      <c r="AH6" s="12"/>
      <c r="AI6" s="6"/>
    </row>
    <row r="7" spans="1:35">
      <c r="A7" s="15" t="s">
        <v>48</v>
      </c>
      <c r="B7" s="11"/>
      <c r="C7" s="16"/>
      <c r="D7" s="33"/>
      <c r="E7" s="33"/>
      <c r="F7" s="33"/>
      <c r="G7" s="33"/>
      <c r="I7" s="33"/>
      <c r="J7" s="33"/>
      <c r="K7" s="33">
        <f>175250790+329188860</f>
        <v>504439650</v>
      </c>
      <c r="L7" s="33"/>
      <c r="M7" s="33"/>
      <c r="N7" s="6">
        <f>175250790+314517060</f>
        <v>489767850</v>
      </c>
      <c r="P7" s="33"/>
      <c r="Q7" s="33"/>
      <c r="R7" s="33">
        <f>440424270+224131050+440424270</f>
        <v>1104979590</v>
      </c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14">
        <f t="shared" ref="AH7:AH32" si="0">SUM(C7:AG7)</f>
        <v>2099187090</v>
      </c>
      <c r="AI7" s="17"/>
    </row>
    <row r="8" spans="1:35">
      <c r="A8" s="15" t="s">
        <v>49</v>
      </c>
      <c r="B8" s="11"/>
      <c r="C8" s="16"/>
      <c r="D8" s="33"/>
      <c r="E8" s="33"/>
      <c r="F8" s="33">
        <v>725630400</v>
      </c>
      <c r="G8" s="33"/>
      <c r="H8" s="33">
        <f>66765600+47718000</f>
        <v>114483600</v>
      </c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14">
        <f t="shared" si="0"/>
        <v>840114000</v>
      </c>
      <c r="AI8" s="17"/>
    </row>
    <row r="9" spans="1:35">
      <c r="A9" s="15" t="s">
        <v>8</v>
      </c>
      <c r="B9" s="11"/>
      <c r="C9" s="16"/>
      <c r="D9" s="33"/>
      <c r="E9" s="33">
        <v>276015474</v>
      </c>
      <c r="F9" s="33"/>
      <c r="G9" s="33"/>
      <c r="H9" s="33"/>
      <c r="I9" s="33"/>
      <c r="J9" s="33"/>
      <c r="K9" s="33"/>
      <c r="L9" s="33"/>
      <c r="M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>
        <f>251606912+36052830-276015474</f>
        <v>11644268</v>
      </c>
      <c r="AA9" s="33"/>
      <c r="AB9" s="33"/>
      <c r="AC9" s="33"/>
      <c r="AD9" s="33"/>
      <c r="AE9" s="33"/>
      <c r="AF9" s="33"/>
      <c r="AG9" s="33"/>
      <c r="AH9" s="14">
        <f t="shared" si="0"/>
        <v>287659742</v>
      </c>
      <c r="AI9" s="17"/>
    </row>
    <row r="10" spans="1:35">
      <c r="A10" s="15" t="s">
        <v>9</v>
      </c>
      <c r="B10" s="11"/>
      <c r="C10" s="16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14">
        <f>SUM(C10:AG10)</f>
        <v>0</v>
      </c>
      <c r="AI10" s="17"/>
    </row>
    <row r="11" spans="1:35">
      <c r="A11" s="15" t="s">
        <v>10</v>
      </c>
      <c r="B11" s="11"/>
      <c r="C11" s="16"/>
      <c r="D11" s="33"/>
      <c r="E11" s="33"/>
      <c r="F11" s="33"/>
      <c r="G11" s="33"/>
      <c r="H11" s="33"/>
      <c r="I11" s="33"/>
      <c r="J11" s="33"/>
      <c r="K11" s="33"/>
      <c r="L11" s="33"/>
      <c r="M11" s="33"/>
      <c r="O11" s="41"/>
      <c r="P11" s="33"/>
      <c r="Q11" s="33"/>
      <c r="R11" s="33"/>
      <c r="S11" s="33"/>
      <c r="T11" s="33"/>
      <c r="U11" s="33"/>
      <c r="V11" s="33">
        <v>88000000</v>
      </c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14">
        <f t="shared" si="0"/>
        <v>88000000</v>
      </c>
      <c r="AI11" s="17"/>
    </row>
    <row r="12" spans="1:35">
      <c r="A12" s="15" t="s">
        <v>11</v>
      </c>
      <c r="B12" s="11"/>
      <c r="C12" s="16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14">
        <f t="shared" si="0"/>
        <v>0</v>
      </c>
      <c r="AI12" s="17"/>
    </row>
    <row r="13" spans="1:35">
      <c r="A13" s="18" t="s">
        <v>12</v>
      </c>
      <c r="B13" s="11"/>
      <c r="C13" s="16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14">
        <f t="shared" si="0"/>
        <v>0</v>
      </c>
      <c r="AI13" s="17"/>
    </row>
    <row r="14" spans="1:35">
      <c r="A14" s="18" t="s">
        <v>13</v>
      </c>
      <c r="B14" s="11"/>
      <c r="C14" s="16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14">
        <f>SUM(C14:AG14)</f>
        <v>0</v>
      </c>
      <c r="AI14" s="17"/>
    </row>
    <row r="15" spans="1:35">
      <c r="A15" s="18" t="s">
        <v>14</v>
      </c>
      <c r="B15" s="11"/>
      <c r="C15" s="16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14">
        <f>SUM(C15:AG15)</f>
        <v>0</v>
      </c>
      <c r="AI15" s="17"/>
    </row>
    <row r="16" spans="1:35">
      <c r="A16" s="15" t="s">
        <v>15</v>
      </c>
      <c r="B16" s="11"/>
      <c r="C16" s="16"/>
      <c r="D16" s="33"/>
      <c r="E16" s="33"/>
      <c r="F16" s="33">
        <v>288406800</v>
      </c>
      <c r="G16" s="33"/>
      <c r="H16" s="33">
        <v>213385</v>
      </c>
      <c r="I16" s="33"/>
      <c r="J16" s="33"/>
      <c r="K16" s="33"/>
      <c r="L16" s="33"/>
      <c r="M16" s="33">
        <v>46038960</v>
      </c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14">
        <f t="shared" si="0"/>
        <v>334659145</v>
      </c>
      <c r="AI16" s="17"/>
    </row>
    <row r="17" spans="1:37">
      <c r="A17" s="15" t="s">
        <v>16</v>
      </c>
      <c r="B17" s="11"/>
      <c r="C17" s="16"/>
      <c r="D17" s="33"/>
      <c r="E17" s="33"/>
      <c r="G17" s="33"/>
      <c r="K17" s="33">
        <v>381937536</v>
      </c>
      <c r="L17" s="33">
        <f>513924275+166560358</f>
        <v>680484633</v>
      </c>
      <c r="M17" s="33">
        <v>180917728</v>
      </c>
      <c r="N17" s="33"/>
      <c r="O17" s="33">
        <f>256040445</f>
        <v>256040445</v>
      </c>
      <c r="P17" s="33"/>
      <c r="Q17" s="33"/>
      <c r="R17" s="33"/>
      <c r="S17" s="33">
        <v>105779103</v>
      </c>
      <c r="T17" s="33"/>
      <c r="U17" s="33"/>
      <c r="V17" s="33"/>
      <c r="W17" s="33"/>
      <c r="X17" s="33"/>
      <c r="Y17" s="33">
        <v>350967637</v>
      </c>
      <c r="Z17" s="33"/>
      <c r="AA17" s="33"/>
      <c r="AB17" s="33"/>
      <c r="AC17" s="33"/>
      <c r="AD17" s="33"/>
      <c r="AE17" s="33"/>
      <c r="AF17" s="33"/>
      <c r="AG17" s="33"/>
      <c r="AH17" s="14">
        <f t="shared" si="0"/>
        <v>1956127082</v>
      </c>
      <c r="AI17" s="17"/>
    </row>
    <row r="18" spans="1:37">
      <c r="A18" s="15" t="s">
        <v>17</v>
      </c>
      <c r="B18" s="11"/>
      <c r="C18" s="16"/>
      <c r="D18" s="33">
        <v>280976000</v>
      </c>
      <c r="E18" s="33">
        <f>776816000</f>
        <v>776816000</v>
      </c>
      <c r="F18" s="33"/>
      <c r="H18" s="33">
        <f>95036000+123960000</f>
        <v>218996000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14">
        <f t="shared" si="0"/>
        <v>1276788000</v>
      </c>
      <c r="AI18" s="17"/>
    </row>
    <row r="19" spans="1:37">
      <c r="A19" s="15" t="s">
        <v>18</v>
      </c>
      <c r="B19" s="11"/>
      <c r="C19" s="16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14">
        <f t="shared" si="0"/>
        <v>0</v>
      </c>
      <c r="AI19" s="17"/>
    </row>
    <row r="20" spans="1:37" ht="15">
      <c r="A20" s="15" t="s">
        <v>19</v>
      </c>
      <c r="B20" s="11"/>
      <c r="C20" s="16"/>
      <c r="D20" s="33"/>
      <c r="E20" s="33"/>
      <c r="F20" s="33"/>
      <c r="G20" s="38"/>
      <c r="H20" s="33"/>
      <c r="I20" s="38"/>
      <c r="J20" s="33"/>
      <c r="K20" s="38"/>
      <c r="L20" s="33"/>
      <c r="M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14">
        <f t="shared" si="0"/>
        <v>0</v>
      </c>
      <c r="AI20" s="17"/>
    </row>
    <row r="21" spans="1:37" ht="15">
      <c r="A21" s="15" t="s">
        <v>20</v>
      </c>
      <c r="B21" s="11"/>
      <c r="C21" s="16"/>
      <c r="D21" s="33"/>
      <c r="E21" s="33"/>
      <c r="F21" s="33"/>
      <c r="G21" s="39"/>
      <c r="H21" s="33">
        <f>48516440-970000</f>
        <v>47546440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>
        <v>194627587</v>
      </c>
      <c r="Z21" s="33"/>
      <c r="AA21" s="33"/>
      <c r="AB21" s="33"/>
      <c r="AC21" s="33"/>
      <c r="AD21" s="33"/>
      <c r="AE21" s="33"/>
      <c r="AF21" s="33"/>
      <c r="AG21" s="33"/>
      <c r="AH21" s="14">
        <f t="shared" si="0"/>
        <v>242174027</v>
      </c>
      <c r="AI21" s="17"/>
    </row>
    <row r="22" spans="1:37">
      <c r="A22" s="15" t="s">
        <v>43</v>
      </c>
      <c r="B22" s="11"/>
      <c r="C22" s="16"/>
      <c r="D22" s="33"/>
      <c r="E22" s="33"/>
      <c r="F22" s="33"/>
      <c r="G22" s="33"/>
      <c r="H22" s="33"/>
      <c r="I22" s="33"/>
      <c r="J22" s="33" t="s">
        <v>87</v>
      </c>
      <c r="K22" s="33"/>
      <c r="L22" s="33"/>
      <c r="M22" s="33">
        <f>126904800-3008050</f>
        <v>123896750</v>
      </c>
      <c r="N22" s="33"/>
      <c r="O22" s="33"/>
      <c r="P22" s="33"/>
      <c r="Q22" s="33"/>
      <c r="R22" s="33">
        <v>171855816</v>
      </c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14">
        <f t="shared" si="0"/>
        <v>295752566</v>
      </c>
      <c r="AI22" s="17"/>
    </row>
    <row r="23" spans="1:37">
      <c r="A23" s="15" t="s">
        <v>44</v>
      </c>
      <c r="B23" s="11"/>
      <c r="C23" s="16"/>
      <c r="D23" s="33"/>
      <c r="E23" s="33"/>
      <c r="F23" s="33"/>
      <c r="G23" s="33"/>
      <c r="H23" s="33"/>
      <c r="I23" s="33"/>
      <c r="J23" s="33"/>
      <c r="K23" s="33">
        <v>127350485</v>
      </c>
      <c r="L23" s="33" t="s">
        <v>88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>
        <f>91137077-12458612</f>
        <v>78678465</v>
      </c>
      <c r="AA23" s="33"/>
      <c r="AB23" s="33"/>
      <c r="AC23" s="33"/>
      <c r="AD23" s="33"/>
      <c r="AE23" s="33"/>
      <c r="AF23" s="33">
        <f>132178939-125795567</f>
        <v>6383372</v>
      </c>
      <c r="AG23" s="33"/>
      <c r="AH23" s="14">
        <f>SUM(C23:AG23)</f>
        <v>212412322</v>
      </c>
      <c r="AI23" s="17"/>
    </row>
    <row r="24" spans="1:37">
      <c r="A24" s="15" t="s">
        <v>21</v>
      </c>
      <c r="B24" s="11"/>
      <c r="C24" s="16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14">
        <f t="shared" si="0"/>
        <v>0</v>
      </c>
      <c r="AI24" s="17"/>
    </row>
    <row r="25" spans="1:37">
      <c r="A25" s="15" t="s">
        <v>22</v>
      </c>
      <c r="B25" s="11"/>
      <c r="C25" s="16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14">
        <f t="shared" si="0"/>
        <v>0</v>
      </c>
      <c r="AI25" s="17"/>
    </row>
    <row r="26" spans="1:37">
      <c r="A26" s="15" t="s">
        <v>23</v>
      </c>
      <c r="B26" s="11"/>
      <c r="C26" s="16"/>
      <c r="D26" s="33"/>
      <c r="E26" s="33"/>
      <c r="F26" s="33"/>
      <c r="G26" s="33"/>
      <c r="H26" s="33"/>
      <c r="I26" s="33"/>
      <c r="J26" s="33"/>
      <c r="K26" s="33"/>
      <c r="L26" s="33"/>
      <c r="M26" s="33" t="s">
        <v>89</v>
      </c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AC26" s="33">
        <v>237560000</v>
      </c>
      <c r="AD26" s="33"/>
      <c r="AE26" s="33"/>
      <c r="AF26" s="33"/>
      <c r="AG26" s="33"/>
      <c r="AH26" s="14">
        <f t="shared" si="0"/>
        <v>237560000</v>
      </c>
      <c r="AI26" s="17"/>
    </row>
    <row r="27" spans="1:37">
      <c r="A27" s="15" t="s">
        <v>45</v>
      </c>
      <c r="B27" s="11"/>
      <c r="C27" s="16"/>
      <c r="E27" s="33">
        <f>245437500+145871550</f>
        <v>391309050</v>
      </c>
      <c r="F27" s="33"/>
      <c r="G27" s="33"/>
      <c r="H27" s="33"/>
      <c r="I27" s="33"/>
      <c r="J27" s="33"/>
      <c r="K27" s="33">
        <v>415800000</v>
      </c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41"/>
      <c r="AC27" s="41"/>
      <c r="AD27" s="33"/>
      <c r="AE27" s="33"/>
      <c r="AF27" s="33"/>
      <c r="AG27" s="33"/>
      <c r="AH27" s="14">
        <f t="shared" si="0"/>
        <v>807109050</v>
      </c>
      <c r="AI27" s="17"/>
      <c r="AJ27" s="33">
        <v>245437500</v>
      </c>
      <c r="AK27" s="44">
        <v>44137</v>
      </c>
    </row>
    <row r="28" spans="1:37">
      <c r="A28" s="15" t="s">
        <v>24</v>
      </c>
      <c r="B28" s="11"/>
      <c r="C28" s="16"/>
      <c r="D28" s="33">
        <f>129503161-594956</f>
        <v>128908205</v>
      </c>
      <c r="E28" s="33"/>
      <c r="F28" s="33"/>
      <c r="G28" s="33"/>
      <c r="H28" s="33"/>
      <c r="I28" s="33"/>
      <c r="J28" s="33"/>
      <c r="K28" s="33">
        <v>249282000</v>
      </c>
      <c r="L28" s="33"/>
      <c r="M28" s="33"/>
      <c r="N28" s="33"/>
      <c r="O28" s="33">
        <v>141972401</v>
      </c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>
        <v>97839700</v>
      </c>
      <c r="AA28" s="33"/>
      <c r="AB28" s="33"/>
      <c r="AC28" s="33"/>
      <c r="AD28" s="33"/>
      <c r="AE28" s="33"/>
      <c r="AF28" s="33"/>
      <c r="AG28" s="33"/>
      <c r="AH28" s="14">
        <f>SUM(C28:AG28)</f>
        <v>618002306</v>
      </c>
      <c r="AI28" s="17"/>
    </row>
    <row r="29" spans="1:37">
      <c r="A29" s="15" t="s">
        <v>25</v>
      </c>
      <c r="B29" s="11"/>
      <c r="C29" s="16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14">
        <f>SUM(C29:AG29)</f>
        <v>0</v>
      </c>
      <c r="AI29" s="17"/>
    </row>
    <row r="30" spans="1:37">
      <c r="A30" s="15" t="s">
        <v>26</v>
      </c>
      <c r="B30" s="11"/>
      <c r="C30" s="16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>
        <v>147897589</v>
      </c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14">
        <f>SUM(C30:AG30)</f>
        <v>147897589</v>
      </c>
      <c r="AI30" s="17"/>
    </row>
    <row r="31" spans="1:37" ht="15">
      <c r="A31" s="15" t="s">
        <v>27</v>
      </c>
      <c r="B31" s="11"/>
      <c r="C31" s="16"/>
      <c r="D31" s="16">
        <v>598937500</v>
      </c>
      <c r="E31" s="33">
        <v>143097500</v>
      </c>
      <c r="F31" s="33">
        <v>195868750</v>
      </c>
      <c r="G31" s="33"/>
      <c r="H31" s="38"/>
      <c r="I31" s="38"/>
      <c r="J31" s="33"/>
      <c r="K31" s="33"/>
      <c r="L31" s="33"/>
      <c r="M31" s="33"/>
      <c r="N31" s="33"/>
      <c r="O31" s="33">
        <v>103600000</v>
      </c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>
        <v>103600000</v>
      </c>
      <c r="AG31" s="33"/>
      <c r="AH31" s="14">
        <f t="shared" si="0"/>
        <v>1145103750</v>
      </c>
      <c r="AI31" s="17"/>
    </row>
    <row r="32" spans="1:37">
      <c r="A32" s="15" t="s">
        <v>28</v>
      </c>
      <c r="B32" s="11"/>
      <c r="C32" s="16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14">
        <f t="shared" si="0"/>
        <v>0</v>
      </c>
      <c r="AI32" s="17"/>
    </row>
    <row r="33" spans="1:35">
      <c r="A33" s="15" t="s">
        <v>29</v>
      </c>
      <c r="B33" s="11"/>
      <c r="C33" s="16"/>
      <c r="D33" s="33"/>
      <c r="E33" s="33"/>
      <c r="F33" s="33"/>
      <c r="G33" s="33"/>
      <c r="H33" s="33">
        <v>100528290</v>
      </c>
      <c r="I33" s="33"/>
      <c r="J33" s="33"/>
      <c r="K33" s="33"/>
      <c r="L33" s="33"/>
      <c r="M33" s="33"/>
      <c r="N33" s="33">
        <v>100528290</v>
      </c>
      <c r="O33" s="33"/>
      <c r="P33" s="33"/>
      <c r="Q33" s="33"/>
      <c r="R33" s="33"/>
      <c r="S33" s="33"/>
      <c r="T33" s="33">
        <v>100318211</v>
      </c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14">
        <f>SUM(C33:AG33)</f>
        <v>301374791</v>
      </c>
      <c r="AI33" s="17"/>
    </row>
    <row r="34" spans="1:35">
      <c r="A34" s="15" t="s">
        <v>30</v>
      </c>
      <c r="B34" s="11"/>
      <c r="C34" s="16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14">
        <f>SUM(C34:AG34)</f>
        <v>0</v>
      </c>
      <c r="AI34" s="17"/>
    </row>
    <row r="35" spans="1:35">
      <c r="A35" s="15" t="s">
        <v>31</v>
      </c>
      <c r="B35" s="11"/>
      <c r="C35" s="16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14">
        <f>SUM(C35:AG35)</f>
        <v>0</v>
      </c>
      <c r="AI35" s="17"/>
    </row>
    <row r="36" spans="1:35">
      <c r="A36" s="32" t="s">
        <v>46</v>
      </c>
      <c r="B36" s="11"/>
      <c r="C36" s="16"/>
      <c r="D36" s="16">
        <v>350000000</v>
      </c>
      <c r="E36" s="33">
        <f>2886475+20808750</f>
        <v>23695225</v>
      </c>
      <c r="F36" s="33">
        <v>150000000</v>
      </c>
      <c r="G36" s="33">
        <f>135402068+123049308</f>
        <v>258451376</v>
      </c>
      <c r="H36" s="33"/>
      <c r="I36" s="33"/>
      <c r="J36" s="33"/>
      <c r="K36" s="33">
        <v>400000000</v>
      </c>
      <c r="L36" s="33">
        <v>69169894</v>
      </c>
      <c r="M36" s="33">
        <v>99908380</v>
      </c>
      <c r="N36" s="33"/>
      <c r="O36" s="33">
        <v>3242918</v>
      </c>
      <c r="P36" s="33"/>
      <c r="Q36" s="33"/>
      <c r="R36" s="33">
        <v>200000000</v>
      </c>
      <c r="S36" s="33"/>
      <c r="T36" s="33"/>
      <c r="U36" s="33">
        <v>405698000</v>
      </c>
      <c r="V36" s="33">
        <v>100000000</v>
      </c>
      <c r="W36" s="33"/>
      <c r="X36" s="33"/>
      <c r="Y36" s="33">
        <v>2300000000</v>
      </c>
      <c r="Z36" s="33">
        <f>18176950+12537000</f>
        <v>30713950</v>
      </c>
      <c r="AA36" s="33"/>
      <c r="AB36" s="33">
        <v>60000</v>
      </c>
      <c r="AC36" s="33">
        <v>35000000</v>
      </c>
      <c r="AD36" s="33"/>
      <c r="AE36" s="33"/>
      <c r="AF36" s="33">
        <f>129544347+16120588+15362748</f>
        <v>161027683</v>
      </c>
      <c r="AG36" s="33"/>
      <c r="AH36" s="14">
        <f>SUM(C36:AG36)</f>
        <v>4586967426</v>
      </c>
      <c r="AI36" s="17"/>
    </row>
    <row r="37" spans="1:35">
      <c r="A37" s="32" t="s">
        <v>47</v>
      </c>
      <c r="B37" s="11"/>
      <c r="C37" s="16"/>
      <c r="D37" s="33">
        <f>3079181+43793283</f>
        <v>46872464</v>
      </c>
      <c r="E37" s="33"/>
      <c r="F37" s="33"/>
      <c r="G37" s="33"/>
      <c r="H37" s="33"/>
      <c r="I37" s="33"/>
      <c r="J37" s="33"/>
      <c r="K37" s="33">
        <f>44877334+3307930</f>
        <v>48185264</v>
      </c>
      <c r="L37" s="33"/>
      <c r="M37" s="33"/>
      <c r="N37" s="33"/>
      <c r="O37" s="33"/>
      <c r="P37" s="33"/>
      <c r="Q37" s="33"/>
      <c r="R37" s="33">
        <f>35837423+413491</f>
        <v>36250914</v>
      </c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>
        <f>23375000+5000000</f>
        <v>28375000</v>
      </c>
      <c r="AD37" s="33"/>
      <c r="AE37" s="33"/>
      <c r="AF37" s="33">
        <v>250000000</v>
      </c>
      <c r="AG37" s="33"/>
      <c r="AH37" s="14">
        <f>SUM(C37:AG37)</f>
        <v>409683642</v>
      </c>
      <c r="AI37" s="17"/>
    </row>
    <row r="38" spans="1:35">
      <c r="A38" s="19" t="s">
        <v>32</v>
      </c>
      <c r="B38" s="20"/>
      <c r="C38" s="21">
        <f t="shared" ref="C38:AG38" si="1">SUM(C7:C37)</f>
        <v>0</v>
      </c>
      <c r="D38" s="21">
        <f t="shared" si="1"/>
        <v>1405694169</v>
      </c>
      <c r="E38" s="21">
        <f t="shared" si="1"/>
        <v>1610933249</v>
      </c>
      <c r="F38" s="21">
        <f t="shared" si="1"/>
        <v>1359905950</v>
      </c>
      <c r="G38" s="21">
        <f t="shared" si="1"/>
        <v>258451376</v>
      </c>
      <c r="H38" s="21">
        <f>SUM(H8:H37)</f>
        <v>481767715</v>
      </c>
      <c r="I38" s="21">
        <f t="shared" si="1"/>
        <v>0</v>
      </c>
      <c r="J38" s="21">
        <f t="shared" si="1"/>
        <v>0</v>
      </c>
      <c r="K38" s="21">
        <f t="shared" si="1"/>
        <v>2126994935</v>
      </c>
      <c r="L38" s="21">
        <f t="shared" si="1"/>
        <v>749654527</v>
      </c>
      <c r="M38" s="21">
        <f t="shared" si="1"/>
        <v>450761818</v>
      </c>
      <c r="N38" s="21">
        <f>SUM(N7:N37)</f>
        <v>590296140</v>
      </c>
      <c r="O38" s="21">
        <f>SUM(O8:O37)</f>
        <v>504855764</v>
      </c>
      <c r="P38" s="21">
        <f t="shared" si="1"/>
        <v>0</v>
      </c>
      <c r="Q38" s="21">
        <f t="shared" si="1"/>
        <v>0</v>
      </c>
      <c r="R38" s="21">
        <f>SUM(R7:R37)</f>
        <v>1513086320</v>
      </c>
      <c r="S38" s="21">
        <f t="shared" si="1"/>
        <v>105779103</v>
      </c>
      <c r="T38" s="21">
        <f t="shared" si="1"/>
        <v>248215800</v>
      </c>
      <c r="U38" s="21">
        <f t="shared" si="1"/>
        <v>405698000</v>
      </c>
      <c r="V38" s="21">
        <f t="shared" si="1"/>
        <v>188000000</v>
      </c>
      <c r="W38" s="21">
        <f>SUM(W7:W37)</f>
        <v>0</v>
      </c>
      <c r="X38" s="21">
        <f t="shared" si="1"/>
        <v>0</v>
      </c>
      <c r="Y38" s="21">
        <f t="shared" si="1"/>
        <v>2845595224</v>
      </c>
      <c r="Z38" s="21">
        <f t="shared" si="1"/>
        <v>218876383</v>
      </c>
      <c r="AA38" s="21">
        <f t="shared" si="1"/>
        <v>0</v>
      </c>
      <c r="AB38" s="21">
        <f t="shared" si="1"/>
        <v>60000</v>
      </c>
      <c r="AC38" s="21">
        <f t="shared" si="1"/>
        <v>300935000</v>
      </c>
      <c r="AD38" s="21">
        <f t="shared" si="1"/>
        <v>0</v>
      </c>
      <c r="AE38" s="21">
        <f t="shared" si="1"/>
        <v>0</v>
      </c>
      <c r="AF38" s="21">
        <f t="shared" si="1"/>
        <v>521011055</v>
      </c>
      <c r="AG38" s="21">
        <f t="shared" si="1"/>
        <v>0</v>
      </c>
      <c r="AH38" s="21">
        <f>SUM(AH7:AH37)</f>
        <v>15886572528</v>
      </c>
    </row>
    <row r="39" spans="1:35">
      <c r="A39" s="22"/>
      <c r="B39" s="11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2"/>
      <c r="AD39" s="12"/>
      <c r="AE39" s="12"/>
      <c r="AF39" s="12"/>
      <c r="AG39" s="12"/>
      <c r="AH39" s="23"/>
      <c r="AI39" s="6"/>
    </row>
    <row r="40" spans="1:35">
      <c r="A40" s="24" t="s">
        <v>33</v>
      </c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23"/>
      <c r="AI40" s="6"/>
    </row>
    <row r="41" spans="1:35">
      <c r="A41" s="25" t="s">
        <v>34</v>
      </c>
      <c r="B41" s="26">
        <v>0</v>
      </c>
      <c r="C41" s="26"/>
      <c r="D41" s="26"/>
      <c r="E41" s="26">
        <v>1150172575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>
        <v>372142154</v>
      </c>
      <c r="S41" s="26"/>
      <c r="T41" s="26"/>
      <c r="U41" s="26"/>
      <c r="V41" s="26">
        <v>463909899</v>
      </c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3">
        <f t="shared" ref="AH41:AH49" si="2">SUM(C41:AG41)</f>
        <v>1986224628</v>
      </c>
      <c r="AI41" s="17"/>
    </row>
    <row r="42" spans="1:35">
      <c r="A42" s="25" t="s">
        <v>35</v>
      </c>
      <c r="B42" s="26">
        <v>0</v>
      </c>
      <c r="C42" s="16"/>
      <c r="D42" s="16"/>
      <c r="E42" s="26">
        <v>7630742403</v>
      </c>
      <c r="F42" s="26"/>
      <c r="G42" s="26">
        <v>1627460107</v>
      </c>
      <c r="H42" s="16"/>
      <c r="I42" s="26"/>
      <c r="J42" s="16"/>
      <c r="K42" s="16">
        <f>740433423+881226381</f>
        <v>1621659804</v>
      </c>
      <c r="L42" s="26"/>
      <c r="M42" s="26">
        <f>1587341552</f>
        <v>1587341552</v>
      </c>
      <c r="N42" s="26">
        <v>2198866405</v>
      </c>
      <c r="O42" s="26">
        <v>2543895894</v>
      </c>
      <c r="P42" s="26"/>
      <c r="Q42" s="26"/>
      <c r="R42" s="26">
        <v>1642517132</v>
      </c>
      <c r="S42" s="26"/>
      <c r="T42" s="26">
        <v>1341845096</v>
      </c>
      <c r="U42" s="26"/>
      <c r="V42" s="26">
        <v>2181366835</v>
      </c>
      <c r="W42" s="26"/>
      <c r="X42" s="26"/>
      <c r="Y42" s="26">
        <v>2040176836</v>
      </c>
      <c r="Z42" s="26">
        <v>1596014815</v>
      </c>
      <c r="AA42" s="26">
        <v>1518967836</v>
      </c>
      <c r="AB42" s="26">
        <v>1493849114</v>
      </c>
      <c r="AC42" s="26">
        <v>1674478977</v>
      </c>
      <c r="AE42" s="26"/>
      <c r="AF42" s="26">
        <v>2185669731</v>
      </c>
      <c r="AG42" s="26"/>
      <c r="AH42" s="23">
        <f t="shared" si="2"/>
        <v>32884852537</v>
      </c>
      <c r="AI42" s="17"/>
    </row>
    <row r="43" spans="1:35">
      <c r="A43" s="25" t="s">
        <v>36</v>
      </c>
      <c r="B43" s="26">
        <v>0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Z43" s="26"/>
      <c r="AA43" s="26"/>
      <c r="AB43" s="26"/>
      <c r="AC43" s="26"/>
      <c r="AD43" s="26"/>
      <c r="AE43" s="26"/>
      <c r="AF43" s="26"/>
      <c r="AG43" s="26"/>
      <c r="AH43" s="23">
        <f t="shared" si="2"/>
        <v>0</v>
      </c>
      <c r="AI43" s="17"/>
    </row>
    <row r="44" spans="1:35">
      <c r="A44" s="11" t="s">
        <v>53</v>
      </c>
      <c r="B44" s="26">
        <v>0</v>
      </c>
      <c r="C44" s="26"/>
      <c r="D44" s="26"/>
      <c r="E44" s="26"/>
      <c r="F44" s="26">
        <v>971338557</v>
      </c>
      <c r="G44" s="26">
        <v>571836340</v>
      </c>
      <c r="H44" s="26">
        <v>638542957</v>
      </c>
      <c r="I44" s="26"/>
      <c r="J44" s="26"/>
      <c r="K44" s="26"/>
      <c r="L44" s="26">
        <v>890278791</v>
      </c>
      <c r="M44" s="26"/>
      <c r="Q44" s="26"/>
      <c r="R44" s="26">
        <v>889208021</v>
      </c>
      <c r="S44" s="26">
        <v>808801720</v>
      </c>
      <c r="T44" s="26">
        <v>832537871</v>
      </c>
      <c r="U44" s="26"/>
      <c r="V44" s="26">
        <f>1356311420</f>
        <v>1356311420</v>
      </c>
      <c r="W44" s="26"/>
      <c r="X44" s="41"/>
      <c r="Y44" s="26">
        <v>926747500</v>
      </c>
      <c r="Z44" s="26">
        <v>891125536</v>
      </c>
      <c r="AA44" s="26">
        <v>1202831277</v>
      </c>
      <c r="AB44" s="26"/>
      <c r="AC44" s="26"/>
      <c r="AD44" s="26"/>
      <c r="AE44" s="26"/>
      <c r="AF44" s="26">
        <v>1045678962</v>
      </c>
      <c r="AG44" s="26"/>
      <c r="AH44" s="23">
        <f t="shared" si="2"/>
        <v>11025238952</v>
      </c>
      <c r="AI44" s="17"/>
    </row>
    <row r="45" spans="1:35">
      <c r="A45" s="11" t="s">
        <v>54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41"/>
      <c r="Q45" s="26"/>
      <c r="R45" s="26"/>
      <c r="S45" s="26">
        <v>763723868</v>
      </c>
      <c r="T45" s="26"/>
      <c r="U45" s="26"/>
      <c r="X45" s="41"/>
      <c r="Y45" s="26"/>
      <c r="Z45" s="42">
        <v>1104121625</v>
      </c>
      <c r="AA45" s="26"/>
      <c r="AB45" s="26"/>
      <c r="AC45" s="26"/>
      <c r="AD45" s="26"/>
      <c r="AE45" s="26"/>
      <c r="AF45" s="26"/>
      <c r="AG45" s="26"/>
      <c r="AH45" s="23"/>
      <c r="AI45" s="17"/>
    </row>
    <row r="46" spans="1:35">
      <c r="A46" s="11" t="s">
        <v>37</v>
      </c>
      <c r="B46" s="26">
        <v>0</v>
      </c>
      <c r="C46" s="16"/>
      <c r="D46" s="26">
        <v>1459456301</v>
      </c>
      <c r="E46" s="26"/>
      <c r="F46" s="26"/>
      <c r="G46" s="26">
        <v>1277977113</v>
      </c>
      <c r="H46" s="26">
        <v>910700885</v>
      </c>
      <c r="I46" s="26"/>
      <c r="J46" s="26"/>
      <c r="K46" s="26">
        <v>1052903768</v>
      </c>
      <c r="L46" s="26">
        <v>1178644728</v>
      </c>
      <c r="M46" s="26">
        <v>997969500</v>
      </c>
      <c r="N46" s="26"/>
      <c r="O46" s="26"/>
      <c r="P46" s="41"/>
      <c r="Q46" s="26"/>
      <c r="R46" s="26"/>
      <c r="S46" s="26"/>
      <c r="T46" s="26">
        <v>1337356783</v>
      </c>
      <c r="U46" s="26">
        <v>1231737115</v>
      </c>
      <c r="V46" s="26"/>
      <c r="W46" s="26"/>
      <c r="X46" s="42"/>
      <c r="Y46" s="42">
        <v>694791533</v>
      </c>
      <c r="Z46" s="26">
        <v>673590371</v>
      </c>
      <c r="AA46" s="26">
        <v>519522675</v>
      </c>
      <c r="AB46" s="42">
        <v>1243313491</v>
      </c>
      <c r="AC46" s="26">
        <v>520253862</v>
      </c>
      <c r="AD46" s="26"/>
      <c r="AE46" s="26"/>
      <c r="AF46" s="26">
        <v>801603368</v>
      </c>
      <c r="AG46" s="26"/>
      <c r="AH46" s="23">
        <f>SUM(C46:AG46)</f>
        <v>13899821493</v>
      </c>
      <c r="AI46" s="17"/>
    </row>
    <row r="47" spans="1:35">
      <c r="A47" s="11" t="s">
        <v>38</v>
      </c>
      <c r="B47" s="26">
        <v>0</v>
      </c>
      <c r="C47" s="26"/>
      <c r="D47" s="26">
        <v>616990001</v>
      </c>
      <c r="E47" s="26"/>
      <c r="F47" s="26"/>
      <c r="G47" s="26"/>
      <c r="H47" s="26"/>
      <c r="I47" s="26"/>
      <c r="J47" s="26"/>
      <c r="K47" s="26"/>
      <c r="L47" s="26"/>
      <c r="M47" s="26"/>
      <c r="N47" s="41"/>
      <c r="O47" s="41"/>
      <c r="P47" s="26"/>
      <c r="Q47" s="41"/>
      <c r="R47" s="42"/>
      <c r="S47" s="26"/>
      <c r="T47" s="26"/>
      <c r="U47" s="26"/>
      <c r="V47" s="41"/>
      <c r="W47" s="41"/>
      <c r="X47" s="41"/>
      <c r="Y47" s="41"/>
      <c r="Z47" s="41"/>
      <c r="AA47" s="26"/>
      <c r="AB47" s="42"/>
      <c r="AC47" s="26"/>
      <c r="AD47" s="26"/>
      <c r="AE47" s="26"/>
      <c r="AF47" s="26"/>
      <c r="AG47" s="26"/>
      <c r="AH47" s="23">
        <f t="shared" si="2"/>
        <v>616990001</v>
      </c>
      <c r="AI47" s="17"/>
    </row>
    <row r="48" spans="1:35">
      <c r="A48" s="11" t="s">
        <v>39</v>
      </c>
      <c r="B48" s="26">
        <v>0</v>
      </c>
      <c r="C48" s="26"/>
      <c r="D48" s="26">
        <v>870892121</v>
      </c>
      <c r="E48" s="26">
        <v>931042901</v>
      </c>
      <c r="F48" s="26">
        <v>739389342</v>
      </c>
      <c r="G48" s="26">
        <v>658540586</v>
      </c>
      <c r="H48" s="26">
        <v>708530937</v>
      </c>
      <c r="I48" s="26"/>
      <c r="J48" s="26"/>
      <c r="K48" s="26">
        <v>718739888</v>
      </c>
      <c r="L48" s="26">
        <v>915563356</v>
      </c>
      <c r="M48" s="26">
        <v>1343577686</v>
      </c>
      <c r="N48" s="26">
        <v>849974005</v>
      </c>
      <c r="O48" s="41"/>
      <c r="P48" s="26"/>
      <c r="Q48" s="26"/>
      <c r="R48" s="26">
        <v>1007426045</v>
      </c>
      <c r="S48" s="26">
        <v>676563422</v>
      </c>
      <c r="T48" s="26"/>
      <c r="U48" s="26"/>
      <c r="V48" s="26">
        <v>536613608</v>
      </c>
      <c r="W48" s="26"/>
      <c r="X48" s="41"/>
      <c r="Y48" s="42"/>
      <c r="Z48" s="26">
        <v>351681221</v>
      </c>
      <c r="AA48" s="26">
        <v>649901805</v>
      </c>
      <c r="AC48" s="26"/>
      <c r="AD48" s="26"/>
      <c r="AE48" s="26"/>
      <c r="AF48" s="26">
        <v>425551763</v>
      </c>
      <c r="AG48" s="26"/>
      <c r="AH48" s="23">
        <f>SUM(C48:AG48)</f>
        <v>11383988686</v>
      </c>
      <c r="AI48" s="17"/>
    </row>
    <row r="49" spans="1:35">
      <c r="A49" s="11" t="s">
        <v>40</v>
      </c>
      <c r="B49" s="26">
        <v>0</v>
      </c>
      <c r="C49" s="26"/>
      <c r="D49" s="26"/>
      <c r="E49" s="26"/>
      <c r="F49" s="26"/>
      <c r="G49" s="26"/>
      <c r="H49" s="26">
        <v>1059141432</v>
      </c>
      <c r="I49" s="26"/>
      <c r="J49" s="26"/>
      <c r="K49" s="26"/>
      <c r="L49" s="26"/>
      <c r="M49" s="26">
        <v>681113346</v>
      </c>
      <c r="N49" s="26"/>
      <c r="O49" s="26"/>
      <c r="P49" s="26"/>
      <c r="Q49" s="26"/>
      <c r="R49" s="26"/>
      <c r="S49" s="26"/>
      <c r="T49" s="26"/>
      <c r="U49" s="26"/>
      <c r="V49" s="41"/>
      <c r="W49" s="41"/>
      <c r="X49" s="41"/>
      <c r="Y49" s="41"/>
      <c r="Z49" s="41"/>
      <c r="AA49" s="26"/>
      <c r="AB49" s="42"/>
      <c r="AC49" s="26"/>
      <c r="AD49" s="26"/>
      <c r="AE49" s="26"/>
      <c r="AF49" s="26"/>
      <c r="AG49" s="26"/>
      <c r="AH49" s="23">
        <f t="shared" si="2"/>
        <v>1740254778</v>
      </c>
      <c r="AI49" s="17"/>
    </row>
    <row r="50" spans="1:35">
      <c r="A50" s="27" t="s">
        <v>41</v>
      </c>
      <c r="B50" s="28"/>
      <c r="C50" s="29">
        <f t="shared" ref="C50:AH50" si="3">SUM(C41:C49)</f>
        <v>0</v>
      </c>
      <c r="D50" s="29">
        <f t="shared" si="3"/>
        <v>2947338423</v>
      </c>
      <c r="E50" s="29">
        <f t="shared" si="3"/>
        <v>9711957879</v>
      </c>
      <c r="F50" s="29">
        <f t="shared" si="3"/>
        <v>1710727899</v>
      </c>
      <c r="G50" s="29">
        <f t="shared" si="3"/>
        <v>4135814146</v>
      </c>
      <c r="H50" s="29">
        <f>SUM(H41:H49)</f>
        <v>3316916211</v>
      </c>
      <c r="I50" s="29">
        <f t="shared" si="3"/>
        <v>0</v>
      </c>
      <c r="J50" s="29">
        <f t="shared" si="3"/>
        <v>0</v>
      </c>
      <c r="K50" s="29">
        <f t="shared" si="3"/>
        <v>3393303460</v>
      </c>
      <c r="L50" s="29">
        <f t="shared" si="3"/>
        <v>2984486875</v>
      </c>
      <c r="M50" s="29">
        <f t="shared" si="3"/>
        <v>4610002084</v>
      </c>
      <c r="N50" s="29">
        <f>SUM(N41:N49)</f>
        <v>3048840410</v>
      </c>
      <c r="O50" s="29">
        <f t="shared" si="3"/>
        <v>2543895894</v>
      </c>
      <c r="P50" s="29">
        <f t="shared" si="3"/>
        <v>0</v>
      </c>
      <c r="Q50" s="29">
        <f t="shared" si="3"/>
        <v>0</v>
      </c>
      <c r="R50" s="29">
        <f t="shared" si="3"/>
        <v>3911293352</v>
      </c>
      <c r="S50" s="29">
        <f t="shared" si="3"/>
        <v>2249089010</v>
      </c>
      <c r="T50" s="29">
        <f t="shared" si="3"/>
        <v>3511739750</v>
      </c>
      <c r="U50" s="29">
        <f t="shared" si="3"/>
        <v>1231737115</v>
      </c>
      <c r="V50" s="29">
        <f>SUM(V41:V49)</f>
        <v>4538201762</v>
      </c>
      <c r="W50" s="29">
        <f>SUM(W41:W49)</f>
        <v>0</v>
      </c>
      <c r="X50" s="29">
        <f>SUM(X41:X49)</f>
        <v>0</v>
      </c>
      <c r="Y50" s="29">
        <f>SUM(Y41:Y49)</f>
        <v>3661715869</v>
      </c>
      <c r="Z50" s="29">
        <f>SUM(Z41:Z49)</f>
        <v>4616533568</v>
      </c>
      <c r="AA50" s="29">
        <f t="shared" si="3"/>
        <v>3891223593</v>
      </c>
      <c r="AB50" s="29">
        <f>SUM(AB41:AB49)</f>
        <v>2737162605</v>
      </c>
      <c r="AC50" s="29">
        <f t="shared" si="3"/>
        <v>2194732839</v>
      </c>
      <c r="AD50" s="29">
        <f t="shared" si="3"/>
        <v>0</v>
      </c>
      <c r="AE50" s="29">
        <f t="shared" si="3"/>
        <v>0</v>
      </c>
      <c r="AF50" s="29">
        <f t="shared" si="3"/>
        <v>4458503824</v>
      </c>
      <c r="AG50" s="29">
        <f t="shared" si="3"/>
        <v>0</v>
      </c>
      <c r="AH50" s="30">
        <f t="shared" si="3"/>
        <v>73537371075</v>
      </c>
      <c r="AI50" s="6"/>
    </row>
    <row r="51" spans="1:35">
      <c r="A51" s="387" t="s">
        <v>42</v>
      </c>
      <c r="B51" s="388"/>
      <c r="C51" s="31">
        <f t="shared" ref="C51:AG51" si="4">C38+C50</f>
        <v>0</v>
      </c>
      <c r="D51" s="31">
        <f t="shared" si="4"/>
        <v>4353032592</v>
      </c>
      <c r="E51" s="31">
        <f t="shared" si="4"/>
        <v>11322891128</v>
      </c>
      <c r="F51" s="31">
        <f>F38+F50</f>
        <v>3070633849</v>
      </c>
      <c r="G51" s="31">
        <f t="shared" si="4"/>
        <v>4394265522</v>
      </c>
      <c r="H51" s="31">
        <f t="shared" si="4"/>
        <v>3798683926</v>
      </c>
      <c r="I51" s="31">
        <f t="shared" si="4"/>
        <v>0</v>
      </c>
      <c r="J51" s="31">
        <f t="shared" si="4"/>
        <v>0</v>
      </c>
      <c r="K51" s="31">
        <f t="shared" si="4"/>
        <v>5520298395</v>
      </c>
      <c r="L51" s="31">
        <f t="shared" si="4"/>
        <v>3734141402</v>
      </c>
      <c r="M51" s="31">
        <f t="shared" si="4"/>
        <v>5060763902</v>
      </c>
      <c r="N51" s="31">
        <f t="shared" si="4"/>
        <v>3639136550</v>
      </c>
      <c r="O51" s="31">
        <f t="shared" si="4"/>
        <v>3048751658</v>
      </c>
      <c r="P51" s="31">
        <f t="shared" si="4"/>
        <v>0</v>
      </c>
      <c r="Q51" s="31">
        <f t="shared" si="4"/>
        <v>0</v>
      </c>
      <c r="R51" s="31">
        <f t="shared" si="4"/>
        <v>5424379672</v>
      </c>
      <c r="S51" s="31">
        <f t="shared" si="4"/>
        <v>2354868113</v>
      </c>
      <c r="T51" s="31">
        <f t="shared" si="4"/>
        <v>3759955550</v>
      </c>
      <c r="U51" s="31">
        <f t="shared" si="4"/>
        <v>1637435115</v>
      </c>
      <c r="V51" s="31">
        <f t="shared" si="4"/>
        <v>4726201762</v>
      </c>
      <c r="W51" s="31">
        <f t="shared" si="4"/>
        <v>0</v>
      </c>
      <c r="X51" s="31">
        <f t="shared" si="4"/>
        <v>0</v>
      </c>
      <c r="Y51" s="31">
        <f t="shared" si="4"/>
        <v>6507311093</v>
      </c>
      <c r="Z51" s="31">
        <f t="shared" si="4"/>
        <v>4835409951</v>
      </c>
      <c r="AA51" s="31">
        <f t="shared" si="4"/>
        <v>3891223593</v>
      </c>
      <c r="AB51" s="31">
        <f t="shared" si="4"/>
        <v>2737222605</v>
      </c>
      <c r="AC51" s="31">
        <f t="shared" si="4"/>
        <v>2495667839</v>
      </c>
      <c r="AD51" s="31">
        <f t="shared" si="4"/>
        <v>0</v>
      </c>
      <c r="AE51" s="31">
        <f t="shared" si="4"/>
        <v>0</v>
      </c>
      <c r="AF51" s="31">
        <f t="shared" si="4"/>
        <v>4979514879</v>
      </c>
      <c r="AG51" s="31">
        <f t="shared" si="4"/>
        <v>0</v>
      </c>
      <c r="AH51" s="31">
        <f>SUM(C51:AG51)</f>
        <v>91291789096</v>
      </c>
    </row>
    <row r="53" spans="1:35">
      <c r="B53" s="3" t="s">
        <v>50</v>
      </c>
      <c r="D53" s="6">
        <v>14183919299</v>
      </c>
      <c r="E53" s="6">
        <v>13781672861</v>
      </c>
      <c r="F53" s="6">
        <v>5728610486</v>
      </c>
      <c r="G53" s="6">
        <v>4956183913</v>
      </c>
      <c r="H53" s="6">
        <v>7735655659</v>
      </c>
      <c r="I53" s="6"/>
      <c r="J53" s="6"/>
      <c r="K53" s="6">
        <v>8361873794</v>
      </c>
      <c r="L53" s="6">
        <v>6410457518</v>
      </c>
      <c r="M53" s="6">
        <v>5940272853</v>
      </c>
      <c r="N53" s="6">
        <v>3895965365</v>
      </c>
      <c r="O53" s="6">
        <v>3527632623</v>
      </c>
      <c r="P53" s="6"/>
      <c r="Q53" s="6"/>
      <c r="R53" s="6">
        <v>5499277068</v>
      </c>
      <c r="S53" s="6">
        <v>2704255813</v>
      </c>
      <c r="T53" s="6">
        <v>3946608801</v>
      </c>
      <c r="U53" s="6">
        <v>2697492541</v>
      </c>
      <c r="V53" s="6">
        <v>4107265480</v>
      </c>
      <c r="W53" s="6"/>
      <c r="X53" s="6"/>
      <c r="Y53" s="6">
        <v>7962249926</v>
      </c>
      <c r="Z53" s="6">
        <v>5089739790</v>
      </c>
      <c r="AA53" s="6">
        <v>3612559762</v>
      </c>
      <c r="AB53" s="6">
        <v>3041418845</v>
      </c>
      <c r="AF53" s="6">
        <v>5484847713</v>
      </c>
    </row>
    <row r="54" spans="1:35">
      <c r="B54" s="3" t="s">
        <v>64</v>
      </c>
      <c r="D54" s="43">
        <f>D53-D51</f>
        <v>9830886707</v>
      </c>
      <c r="E54" s="43">
        <f>E53-E51</f>
        <v>2458781733</v>
      </c>
      <c r="F54" s="43">
        <f>F53-F51</f>
        <v>2657976637</v>
      </c>
      <c r="G54" s="43">
        <f>G53-G51</f>
        <v>561918391</v>
      </c>
      <c r="H54" s="43">
        <f>H53-H51</f>
        <v>3936971733</v>
      </c>
      <c r="J54" s="40"/>
      <c r="K54" s="40"/>
      <c r="N54" s="40">
        <f>N53-N51</f>
        <v>256828815</v>
      </c>
      <c r="O54" s="40">
        <f>O53-O51</f>
        <v>478880965</v>
      </c>
      <c r="P54" s="40" t="s">
        <v>90</v>
      </c>
      <c r="Q54" s="40" t="s">
        <v>91</v>
      </c>
      <c r="R54" s="43">
        <f>R53-R51</f>
        <v>74897396</v>
      </c>
      <c r="S54" s="6"/>
      <c r="T54" s="6">
        <f>T53-T51</f>
        <v>186653251</v>
      </c>
      <c r="U54" s="40">
        <f>U53-U51</f>
        <v>1060057426</v>
      </c>
      <c r="V54" s="40">
        <f>V53-V51</f>
        <v>-618936282</v>
      </c>
      <c r="W54" s="43"/>
      <c r="X54" s="40"/>
      <c r="Y54" s="40">
        <f>Y53-Y51</f>
        <v>1454938833</v>
      </c>
      <c r="Z54" s="6">
        <f>Z53-Z51</f>
        <v>254329839</v>
      </c>
      <c r="AA54" s="6">
        <f>AA53-AA51</f>
        <v>-278663831</v>
      </c>
      <c r="AB54" s="40">
        <f>AB53-AB51</f>
        <v>304196240</v>
      </c>
      <c r="AF54" s="6">
        <f>AF53-AF51</f>
        <v>505332834</v>
      </c>
    </row>
    <row r="55" spans="1:35">
      <c r="R55" s="6"/>
      <c r="T55" s="6"/>
      <c r="AA55" s="6"/>
      <c r="AF55" s="6"/>
    </row>
    <row r="58" spans="1:35">
      <c r="J58" s="33">
        <f>81182640-13529276</f>
        <v>67653364</v>
      </c>
      <c r="K58" s="26">
        <v>778393887</v>
      </c>
    </row>
    <row r="59" spans="1:35">
      <c r="J59" s="26">
        <v>733024299</v>
      </c>
    </row>
    <row r="60" spans="1:35">
      <c r="J60" s="26">
        <f>209920265+175706258+180266991+212500373</f>
        <v>778393887</v>
      </c>
    </row>
    <row r="62" spans="1:35" ht="15">
      <c r="M62" s="45"/>
      <c r="N62" s="45"/>
      <c r="O62" s="45"/>
      <c r="P62" s="45"/>
      <c r="Q62" s="45"/>
      <c r="R62" s="45"/>
      <c r="S62" s="45"/>
      <c r="T62" s="45"/>
      <c r="U62" s="45"/>
      <c r="V62" s="45"/>
      <c r="W62"/>
      <c r="X62"/>
      <c r="Y62"/>
    </row>
    <row r="63" spans="1:35" ht="15">
      <c r="M63" s="45" t="s">
        <v>92</v>
      </c>
      <c r="N63" s="45"/>
      <c r="O63" s="45"/>
      <c r="P63" s="45"/>
      <c r="Q63" s="45"/>
      <c r="R63" s="45"/>
      <c r="S63" s="45"/>
      <c r="T63" s="45"/>
      <c r="U63" s="45"/>
      <c r="V63" s="45"/>
      <c r="W63"/>
      <c r="X63"/>
      <c r="Y63"/>
    </row>
    <row r="64" spans="1:35" ht="15">
      <c r="M64" s="45" t="s">
        <v>93</v>
      </c>
      <c r="N64" s="45"/>
      <c r="O64" s="45"/>
      <c r="P64" s="45"/>
      <c r="Q64" s="45"/>
      <c r="R64" s="45"/>
      <c r="S64" s="45"/>
      <c r="T64" s="45"/>
      <c r="U64" s="45"/>
      <c r="V64" s="45"/>
      <c r="W64"/>
      <c r="X64"/>
      <c r="Y64"/>
    </row>
    <row r="65" spans="13:25" ht="15">
      <c r="M65" s="45" t="s">
        <v>94</v>
      </c>
      <c r="N65" s="45"/>
      <c r="O65" s="45"/>
      <c r="P65" s="45"/>
      <c r="Q65" s="45"/>
      <c r="R65" s="45"/>
      <c r="S65" s="45"/>
      <c r="T65" s="45"/>
      <c r="U65" s="45"/>
      <c r="V65" s="45"/>
      <c r="W65"/>
      <c r="X65"/>
      <c r="Y65"/>
    </row>
    <row r="66" spans="13:25" ht="15">
      <c r="M66" s="45"/>
      <c r="N66" s="45"/>
      <c r="O66" s="45"/>
      <c r="P66" s="45"/>
      <c r="Q66" s="45"/>
      <c r="R66" s="45"/>
      <c r="S66" s="45"/>
      <c r="T66" s="45"/>
      <c r="U66" s="45"/>
      <c r="V66" s="45" t="s">
        <v>95</v>
      </c>
      <c r="W66"/>
      <c r="X66"/>
      <c r="Y66"/>
    </row>
    <row r="67" spans="13:25" ht="15">
      <c r="M67" s="45"/>
      <c r="N67" s="45"/>
      <c r="O67" s="45"/>
      <c r="P67" s="45"/>
      <c r="Q67" s="45"/>
      <c r="R67" s="45"/>
      <c r="S67" s="45"/>
      <c r="T67" s="45"/>
      <c r="U67" s="45"/>
      <c r="V67" s="45" t="s">
        <v>96</v>
      </c>
      <c r="W67"/>
      <c r="X67">
        <v>2</v>
      </c>
      <c r="Y67"/>
    </row>
    <row r="68" spans="13:25" ht="15">
      <c r="M68" s="45" t="s">
        <v>97</v>
      </c>
      <c r="N68" s="45"/>
      <c r="O68" s="45"/>
      <c r="P68" s="45"/>
      <c r="Q68" s="45"/>
      <c r="R68" s="45"/>
      <c r="S68" s="45"/>
      <c r="T68" s="45"/>
      <c r="U68" s="45"/>
      <c r="V68" s="45" t="s">
        <v>98</v>
      </c>
      <c r="W68"/>
      <c r="X68">
        <v>2</v>
      </c>
      <c r="Y68"/>
    </row>
    <row r="69" spans="13:25" ht="15">
      <c r="M69" s="45"/>
      <c r="N69" s="45"/>
      <c r="O69" s="45"/>
      <c r="P69" s="45"/>
      <c r="Q69" s="45"/>
      <c r="R69" s="45"/>
      <c r="S69" s="45"/>
      <c r="T69" s="45"/>
      <c r="U69" s="45"/>
      <c r="V69" s="45" t="s">
        <v>99</v>
      </c>
      <c r="W69"/>
      <c r="X69">
        <v>10</v>
      </c>
      <c r="Y69"/>
    </row>
    <row r="70" spans="13:25" ht="15">
      <c r="M70"/>
      <c r="N70"/>
      <c r="O70" s="46"/>
      <c r="P70" s="46"/>
      <c r="Q70" s="46"/>
      <c r="R70" s="46"/>
      <c r="S70" s="46"/>
      <c r="T70" s="46"/>
      <c r="U70" s="46"/>
      <c r="V70" s="47" t="s">
        <v>100</v>
      </c>
      <c r="W70" s="46" t="s">
        <v>101</v>
      </c>
      <c r="X70"/>
      <c r="Y70"/>
    </row>
    <row r="71" spans="13:25" ht="15">
      <c r="M71"/>
      <c r="N71"/>
      <c r="O71" s="46"/>
      <c r="P71" s="46"/>
      <c r="Q71" s="46"/>
      <c r="R71" s="46"/>
      <c r="S71" s="46"/>
      <c r="T71" s="46"/>
      <c r="U71" s="46"/>
      <c r="V71" s="47"/>
      <c r="W71" s="46"/>
      <c r="X71"/>
      <c r="Y71"/>
    </row>
    <row r="72" spans="13:25" ht="15">
      <c r="M72"/>
      <c r="N72"/>
      <c r="O72" s="46"/>
      <c r="P72" s="46"/>
      <c r="Q72" s="46"/>
      <c r="R72" s="46"/>
      <c r="S72" s="46"/>
      <c r="T72" s="46"/>
      <c r="U72" s="46"/>
      <c r="V72" s="46"/>
      <c r="W72" s="46"/>
      <c r="X72"/>
      <c r="Y72"/>
    </row>
  </sheetData>
  <mergeCells count="2">
    <mergeCell ref="C4:AG4"/>
    <mergeCell ref="A51:B51"/>
  </mergeCells>
  <pageMargins left="0.13" right="0.31" top="0.44" bottom="0.75" header="0.3" footer="0.3"/>
  <pageSetup paperSize="9" scale="40" orientation="portrait" horizontalDpi="4294967293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71"/>
  <sheetViews>
    <sheetView topLeftCell="A31" zoomScale="90" zoomScaleNormal="90" workbookViewId="0">
      <pane xSplit="1" topLeftCell="AA1" activePane="topRight" state="frozen"/>
      <selection pane="topRight" activeCell="AM6" sqref="AM6"/>
    </sheetView>
  </sheetViews>
  <sheetFormatPr defaultColWidth="8.7109375" defaultRowHeight="12.75"/>
  <cols>
    <col min="1" max="1" width="29.140625" style="3" bestFit="1" customWidth="1"/>
    <col min="2" max="2" width="12.85546875" style="3" customWidth="1"/>
    <col min="3" max="3" width="16.5703125" style="3" customWidth="1"/>
    <col min="4" max="5" width="16.140625" style="3" customWidth="1"/>
    <col min="6" max="6" width="15" style="3" customWidth="1"/>
    <col min="7" max="7" width="17.5703125" style="3" customWidth="1"/>
    <col min="8" max="8" width="17" style="3" customWidth="1"/>
    <col min="9" max="9" width="17.42578125" style="3" customWidth="1"/>
    <col min="10" max="10" width="17.5703125" style="3" customWidth="1"/>
    <col min="11" max="11" width="17.140625" style="3" customWidth="1"/>
    <col min="12" max="12" width="16.5703125" style="3" customWidth="1"/>
    <col min="13" max="14" width="17.5703125" style="3" customWidth="1"/>
    <col min="15" max="15" width="18.28515625" style="3" customWidth="1"/>
    <col min="16" max="16" width="16" style="3" customWidth="1"/>
    <col min="17" max="17" width="18.7109375" style="3" customWidth="1"/>
    <col min="18" max="19" width="14.42578125" style="3" customWidth="1"/>
    <col min="20" max="20" width="14.5703125" style="3" customWidth="1"/>
    <col min="21" max="22" width="15.28515625" style="3" customWidth="1"/>
    <col min="23" max="23" width="16.5703125" style="3" customWidth="1"/>
    <col min="24" max="24" width="17" style="3" customWidth="1"/>
    <col min="25" max="25" width="16" style="3" customWidth="1"/>
    <col min="26" max="26" width="15.28515625" style="3" customWidth="1"/>
    <col min="27" max="27" width="13.85546875" style="3" customWidth="1"/>
    <col min="28" max="28" width="15.5703125" style="3" customWidth="1"/>
    <col min="29" max="29" width="16.140625" style="3" customWidth="1"/>
    <col min="30" max="30" width="15.85546875" style="3" customWidth="1"/>
    <col min="31" max="31" width="14" style="3" customWidth="1"/>
    <col min="32" max="32" width="14.85546875" style="3" customWidth="1"/>
    <col min="33" max="33" width="12.5703125" style="3" customWidth="1"/>
    <col min="34" max="34" width="17.42578125" style="3" customWidth="1"/>
    <col min="35" max="35" width="13" style="3" customWidth="1"/>
    <col min="36" max="36" width="12.85546875" style="3" customWidth="1"/>
    <col min="37" max="37" width="11.28515625" style="3" bestFit="1" customWidth="1"/>
    <col min="38" max="16384" width="8.7109375" style="3"/>
  </cols>
  <sheetData>
    <row r="1" spans="1: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s="6" customForma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>
      <c r="A3" s="7" t="s">
        <v>2</v>
      </c>
      <c r="B3" s="8">
        <v>44166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>
      <c r="A4" s="34" t="s">
        <v>3</v>
      </c>
      <c r="B4" s="35" t="s">
        <v>4</v>
      </c>
      <c r="C4" s="384" t="s">
        <v>5</v>
      </c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6"/>
      <c r="AH4" s="36" t="s">
        <v>6</v>
      </c>
      <c r="AI4" s="6"/>
    </row>
    <row r="5" spans="1:35">
      <c r="A5" s="34"/>
      <c r="B5" s="35"/>
      <c r="C5" s="37">
        <v>44166</v>
      </c>
      <c r="D5" s="37">
        <v>44167</v>
      </c>
      <c r="E5" s="37">
        <v>44168</v>
      </c>
      <c r="F5" s="37">
        <v>44169</v>
      </c>
      <c r="G5" s="37">
        <v>44170</v>
      </c>
      <c r="H5" s="37">
        <v>44171</v>
      </c>
      <c r="I5" s="37">
        <v>44172</v>
      </c>
      <c r="J5" s="37">
        <v>44173</v>
      </c>
      <c r="K5" s="37">
        <v>44174</v>
      </c>
      <c r="L5" s="37">
        <v>44175</v>
      </c>
      <c r="M5" s="37">
        <v>44176</v>
      </c>
      <c r="N5" s="37">
        <v>44177</v>
      </c>
      <c r="O5" s="37">
        <v>44178</v>
      </c>
      <c r="P5" s="37">
        <v>44179</v>
      </c>
      <c r="Q5" s="37">
        <v>44180</v>
      </c>
      <c r="R5" s="37">
        <v>44181</v>
      </c>
      <c r="S5" s="37">
        <v>44182</v>
      </c>
      <c r="T5" s="37">
        <v>44183</v>
      </c>
      <c r="U5" s="37">
        <v>44184</v>
      </c>
      <c r="V5" s="37">
        <v>44185</v>
      </c>
      <c r="W5" s="37">
        <v>44186</v>
      </c>
      <c r="X5" s="37">
        <v>44187</v>
      </c>
      <c r="Y5" s="37">
        <v>44188</v>
      </c>
      <c r="Z5" s="37">
        <v>44189</v>
      </c>
      <c r="AA5" s="37">
        <v>44190</v>
      </c>
      <c r="AB5" s="37">
        <v>44191</v>
      </c>
      <c r="AC5" s="37">
        <v>44192</v>
      </c>
      <c r="AD5" s="37">
        <v>44193</v>
      </c>
      <c r="AE5" s="37">
        <v>44194</v>
      </c>
      <c r="AF5" s="37">
        <v>44195</v>
      </c>
      <c r="AG5" s="37">
        <v>44196</v>
      </c>
      <c r="AH5" s="36"/>
      <c r="AI5" s="6"/>
    </row>
    <row r="6" spans="1:35">
      <c r="A6" s="10" t="s">
        <v>7</v>
      </c>
      <c r="B6" s="11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3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2"/>
      <c r="AI6" s="6"/>
    </row>
    <row r="7" spans="1:35">
      <c r="A7" s="15" t="s">
        <v>48</v>
      </c>
      <c r="B7" s="11"/>
      <c r="C7" s="16"/>
      <c r="D7" s="48"/>
      <c r="E7" s="48"/>
      <c r="F7" s="48"/>
      <c r="G7" s="48"/>
      <c r="H7" s="49"/>
      <c r="I7" s="48"/>
      <c r="J7" s="48"/>
      <c r="K7" s="48"/>
      <c r="L7" s="48"/>
      <c r="M7" s="48"/>
      <c r="N7" s="17"/>
      <c r="O7" s="49"/>
      <c r="P7" s="48"/>
      <c r="Q7" s="48"/>
      <c r="R7" s="48"/>
      <c r="S7" s="49"/>
      <c r="T7" s="48"/>
      <c r="U7" s="48"/>
      <c r="V7" s="48"/>
      <c r="W7" s="48"/>
      <c r="X7" s="48"/>
      <c r="Y7" s="48">
        <v>1538044795</v>
      </c>
      <c r="Z7" s="48"/>
      <c r="AA7" s="48"/>
      <c r="AB7" s="48"/>
      <c r="AC7" s="48"/>
      <c r="AD7" s="48"/>
      <c r="AE7" s="48"/>
      <c r="AF7" s="48"/>
      <c r="AG7" s="48"/>
      <c r="AH7" s="14">
        <f t="shared" ref="AH7:AH30" si="0">SUM(C7:AG7)</f>
        <v>1538044795</v>
      </c>
      <c r="AI7" s="17"/>
    </row>
    <row r="8" spans="1:35">
      <c r="A8" s="15" t="s">
        <v>49</v>
      </c>
      <c r="B8" s="11"/>
      <c r="C8" s="16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14">
        <f t="shared" si="0"/>
        <v>0</v>
      </c>
      <c r="AI8" s="17"/>
    </row>
    <row r="9" spans="1:35">
      <c r="A9" s="15" t="s">
        <v>8</v>
      </c>
      <c r="B9" s="11"/>
      <c r="C9" s="16"/>
      <c r="D9" s="48"/>
      <c r="E9" s="48"/>
      <c r="F9" s="48"/>
      <c r="G9" s="48"/>
      <c r="H9" s="48"/>
      <c r="I9" s="48"/>
      <c r="J9" s="48"/>
      <c r="K9" s="48"/>
      <c r="L9" s="48"/>
      <c r="M9" s="48"/>
      <c r="N9" s="49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>
        <f>138037032-82283386</f>
        <v>55753646</v>
      </c>
      <c r="AE9" s="48"/>
      <c r="AF9" s="48"/>
      <c r="AG9" s="48"/>
      <c r="AH9" s="14">
        <f t="shared" si="0"/>
        <v>55753646</v>
      </c>
      <c r="AI9" s="17"/>
    </row>
    <row r="10" spans="1:35">
      <c r="A10" s="15" t="s">
        <v>9</v>
      </c>
      <c r="B10" s="11"/>
      <c r="C10" s="16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14">
        <f>SUM(C10:AG10)</f>
        <v>0</v>
      </c>
      <c r="AI10" s="17"/>
    </row>
    <row r="11" spans="1:35">
      <c r="A11" s="15" t="s">
        <v>10</v>
      </c>
      <c r="B11" s="11"/>
      <c r="C11" s="16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9"/>
      <c r="O11" s="5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14">
        <f t="shared" si="0"/>
        <v>0</v>
      </c>
      <c r="AI11" s="17"/>
    </row>
    <row r="12" spans="1:35">
      <c r="A12" s="15" t="s">
        <v>11</v>
      </c>
      <c r="B12" s="11"/>
      <c r="C12" s="16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14">
        <f t="shared" si="0"/>
        <v>0</v>
      </c>
      <c r="AI12" s="17"/>
    </row>
    <row r="13" spans="1:35">
      <c r="A13" s="18" t="s">
        <v>12</v>
      </c>
      <c r="B13" s="11"/>
      <c r="C13" s="16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14">
        <f t="shared" si="0"/>
        <v>0</v>
      </c>
      <c r="AI13" s="17"/>
    </row>
    <row r="14" spans="1:35">
      <c r="A14" s="18" t="s">
        <v>13</v>
      </c>
      <c r="B14" s="11"/>
      <c r="C14" s="16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14">
        <f>SUM(C14:AG14)</f>
        <v>0</v>
      </c>
      <c r="AI14" s="17"/>
    </row>
    <row r="15" spans="1:35">
      <c r="A15" s="18" t="s">
        <v>14</v>
      </c>
      <c r="B15" s="11"/>
      <c r="C15" s="16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14">
        <f>SUM(C15:AG15)</f>
        <v>0</v>
      </c>
      <c r="AI15" s="17"/>
    </row>
    <row r="16" spans="1:35">
      <c r="A16" s="15" t="s">
        <v>15</v>
      </c>
      <c r="B16" s="11"/>
      <c r="C16" s="16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14">
        <f t="shared" si="0"/>
        <v>0</v>
      </c>
      <c r="AI16" s="17"/>
    </row>
    <row r="17" spans="1:37">
      <c r="A17" s="15" t="s">
        <v>16</v>
      </c>
      <c r="B17" s="11"/>
      <c r="C17" s="16"/>
      <c r="D17" s="48"/>
      <c r="E17" s="48"/>
      <c r="F17" s="49"/>
      <c r="G17" s="48"/>
      <c r="H17" s="50"/>
      <c r="I17" s="50"/>
      <c r="J17" s="50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14">
        <f t="shared" si="0"/>
        <v>0</v>
      </c>
      <c r="AI17" s="17"/>
    </row>
    <row r="18" spans="1:37">
      <c r="A18" s="15" t="s">
        <v>17</v>
      </c>
      <c r="B18" s="11"/>
      <c r="C18" s="16"/>
      <c r="D18" s="48"/>
      <c r="E18" s="48"/>
      <c r="F18" s="48"/>
      <c r="G18" s="49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14">
        <f t="shared" si="0"/>
        <v>0</v>
      </c>
      <c r="AI18" s="17"/>
    </row>
    <row r="19" spans="1:37">
      <c r="A19" s="15" t="s">
        <v>18</v>
      </c>
      <c r="B19" s="11"/>
      <c r="C19" s="16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14">
        <f t="shared" si="0"/>
        <v>0</v>
      </c>
      <c r="AI19" s="17"/>
    </row>
    <row r="20" spans="1:37" ht="15">
      <c r="A20" s="15" t="s">
        <v>19</v>
      </c>
      <c r="B20" s="11"/>
      <c r="C20" s="16"/>
      <c r="D20" s="48">
        <f>254000000-228000</f>
        <v>253772000</v>
      </c>
      <c r="E20" s="48"/>
      <c r="F20" s="48"/>
      <c r="G20" s="51"/>
      <c r="H20" s="48"/>
      <c r="I20" s="51"/>
      <c r="J20" s="48"/>
      <c r="K20" s="51"/>
      <c r="L20" s="48"/>
      <c r="M20" s="48">
        <v>487400000</v>
      </c>
      <c r="N20" s="49"/>
      <c r="O20" s="48"/>
      <c r="P20" s="48">
        <v>242900000</v>
      </c>
      <c r="Q20" s="48">
        <v>241300000</v>
      </c>
      <c r="S20" s="48"/>
      <c r="T20" s="48"/>
      <c r="U20" s="48"/>
      <c r="V20" s="48"/>
      <c r="W20" s="48">
        <v>252600000</v>
      </c>
      <c r="X20" s="48"/>
      <c r="Y20" s="48"/>
      <c r="Z20" s="48"/>
      <c r="AA20" s="48"/>
      <c r="AB20" s="48"/>
      <c r="AC20" s="48"/>
      <c r="AD20" s="48">
        <v>262000000</v>
      </c>
      <c r="AE20" s="48"/>
      <c r="AF20" s="48"/>
      <c r="AG20" s="48"/>
      <c r="AH20" s="14">
        <f t="shared" si="0"/>
        <v>1739972000</v>
      </c>
      <c r="AI20" s="17"/>
    </row>
    <row r="21" spans="1:37" ht="15">
      <c r="A21" s="15"/>
      <c r="B21" s="11"/>
      <c r="C21" s="16"/>
      <c r="D21" s="48"/>
      <c r="E21" s="48"/>
      <c r="F21" s="48"/>
      <c r="G21" s="51"/>
      <c r="H21" s="48"/>
      <c r="I21" s="51"/>
      <c r="J21" s="48"/>
      <c r="K21" s="51"/>
      <c r="L21" s="48"/>
      <c r="M21" s="48"/>
      <c r="N21" s="49"/>
      <c r="O21" s="48"/>
      <c r="P21" s="48"/>
      <c r="Q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E21" s="48"/>
      <c r="AF21" s="48"/>
      <c r="AG21" s="48"/>
      <c r="AH21" s="14"/>
      <c r="AI21" s="17"/>
      <c r="AJ21" s="48">
        <v>248900000</v>
      </c>
    </row>
    <row r="22" spans="1:37" ht="15">
      <c r="A22" s="15" t="s">
        <v>20</v>
      </c>
      <c r="B22" s="11"/>
      <c r="C22" s="16"/>
      <c r="D22" s="48"/>
      <c r="E22" s="48"/>
      <c r="F22" s="48"/>
      <c r="G22" s="52"/>
      <c r="H22" s="48"/>
      <c r="I22" s="48">
        <v>84910785</v>
      </c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14">
        <f t="shared" si="0"/>
        <v>84910785</v>
      </c>
      <c r="AI22" s="17"/>
    </row>
    <row r="23" spans="1:37">
      <c r="A23" s="15" t="s">
        <v>43</v>
      </c>
      <c r="B23" s="11"/>
      <c r="C23" s="16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E23" s="48"/>
      <c r="AF23" s="48">
        <f>127916800-3256829</f>
        <v>124659971</v>
      </c>
      <c r="AG23" s="48"/>
      <c r="AH23" s="14">
        <f t="shared" si="0"/>
        <v>124659971</v>
      </c>
      <c r="AI23" s="17">
        <f>390501249-392501249</f>
        <v>-2000000</v>
      </c>
    </row>
    <row r="24" spans="1:37">
      <c r="A24" s="15" t="s">
        <v>44</v>
      </c>
      <c r="B24" s="11"/>
      <c r="C24" s="16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>
        <f>294535718-236844734</f>
        <v>57690984</v>
      </c>
      <c r="AE24" s="48">
        <f>132782496+153906984+125539814</f>
        <v>412229294</v>
      </c>
      <c r="AF24" s="17">
        <v>108640224</v>
      </c>
      <c r="AG24" s="48"/>
      <c r="AH24" s="14">
        <f>SUM(C24:AG24)</f>
        <v>578560502</v>
      </c>
    </row>
    <row r="25" spans="1:37" ht="12.75" customHeight="1">
      <c r="A25" s="15"/>
      <c r="B25" s="11"/>
      <c r="C25" s="16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>
        <f>132178939+132178939+126143371</f>
        <v>390501249</v>
      </c>
      <c r="AE25" s="48"/>
      <c r="AF25" s="48"/>
      <c r="AG25" s="48"/>
      <c r="AH25" s="14"/>
      <c r="AI25" s="17"/>
    </row>
    <row r="26" spans="1:37" ht="12.75" customHeight="1">
      <c r="A26" s="15"/>
      <c r="B26" s="11"/>
      <c r="C26" s="16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>
        <f>123125587+141524010+63373464</f>
        <v>328023061</v>
      </c>
      <c r="AE26" s="48"/>
      <c r="AF26" s="48"/>
      <c r="AG26" s="48"/>
      <c r="AH26" s="14"/>
      <c r="AI26" s="17"/>
    </row>
    <row r="27" spans="1:37" ht="12.75" customHeight="1">
      <c r="A27" s="15" t="s">
        <v>21</v>
      </c>
      <c r="B27" s="11"/>
      <c r="C27" s="16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14">
        <f t="shared" si="0"/>
        <v>0</v>
      </c>
      <c r="AI27" s="17"/>
    </row>
    <row r="28" spans="1:37" ht="12.75" customHeight="1">
      <c r="A28" s="15" t="s">
        <v>22</v>
      </c>
      <c r="B28" s="11"/>
      <c r="C28" s="16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14">
        <f t="shared" si="0"/>
        <v>0</v>
      </c>
      <c r="AI28" s="17"/>
    </row>
    <row r="29" spans="1:37" ht="12.75" customHeight="1">
      <c r="A29" s="15" t="s">
        <v>23</v>
      </c>
      <c r="B29" s="11"/>
      <c r="C29" s="16">
        <v>237560000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9"/>
      <c r="AA29" s="49"/>
      <c r="AB29" s="49"/>
      <c r="AC29" s="48"/>
      <c r="AD29" s="48"/>
      <c r="AE29" s="48"/>
      <c r="AF29" s="48"/>
      <c r="AG29" s="48"/>
      <c r="AH29" s="14">
        <f t="shared" si="0"/>
        <v>237560000</v>
      </c>
      <c r="AI29" s="17"/>
    </row>
    <row r="30" spans="1:37" ht="12.75" customHeight="1">
      <c r="A30" s="15" t="s">
        <v>45</v>
      </c>
      <c r="B30" s="11"/>
      <c r="C30" s="16"/>
      <c r="D30" s="49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50"/>
      <c r="AC30" s="50"/>
      <c r="AD30" s="48"/>
      <c r="AE30" s="48"/>
      <c r="AF30" s="48"/>
      <c r="AG30" s="48"/>
      <c r="AH30" s="14">
        <f t="shared" si="0"/>
        <v>0</v>
      </c>
      <c r="AI30" s="17"/>
      <c r="AJ30" s="33">
        <v>245437500</v>
      </c>
      <c r="AK30" s="44">
        <v>44137</v>
      </c>
    </row>
    <row r="31" spans="1:37" ht="12.75" customHeight="1">
      <c r="A31" s="15" t="s">
        <v>24</v>
      </c>
      <c r="B31" s="11"/>
      <c r="C31" s="16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>
        <v>106827040</v>
      </c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14">
        <f>SUM(C31:AG31)</f>
        <v>106827040</v>
      </c>
      <c r="AI31" s="17"/>
    </row>
    <row r="32" spans="1:37">
      <c r="A32" s="15" t="s">
        <v>25</v>
      </c>
      <c r="B32" s="11"/>
      <c r="C32" s="16"/>
      <c r="D32" s="48"/>
      <c r="E32" s="48">
        <f>165755958-111797607</f>
        <v>53958351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>
        <f>127684117-112721337</f>
        <v>14962780</v>
      </c>
      <c r="X32" s="48"/>
      <c r="Y32" s="48"/>
      <c r="Z32" s="48"/>
      <c r="AA32" s="48"/>
      <c r="AB32" s="48"/>
      <c r="AC32" s="48"/>
      <c r="AE32" s="48">
        <v>127684117</v>
      </c>
      <c r="AF32" s="48"/>
      <c r="AG32" s="48"/>
      <c r="AH32" s="14">
        <f>SUM(C32:AG32)</f>
        <v>196605248</v>
      </c>
      <c r="AI32" s="17"/>
      <c r="AJ32" s="48">
        <v>127684117</v>
      </c>
    </row>
    <row r="33" spans="1:35">
      <c r="A33" s="32" t="s">
        <v>46</v>
      </c>
      <c r="B33" s="11"/>
      <c r="C33" s="16">
        <v>12872447</v>
      </c>
      <c r="D33" s="16">
        <f>111788500+107094037</f>
        <v>218882537</v>
      </c>
      <c r="E33" s="48"/>
      <c r="F33" s="48">
        <v>150000000</v>
      </c>
      <c r="G33" s="48"/>
      <c r="H33" s="48"/>
      <c r="I33" s="48">
        <v>70759241</v>
      </c>
      <c r="J33" s="48"/>
      <c r="K33" s="48"/>
      <c r="L33" s="48"/>
      <c r="M33" s="48"/>
      <c r="N33" s="48"/>
      <c r="O33" s="48"/>
      <c r="P33" s="48">
        <v>300000000</v>
      </c>
      <c r="Q33" s="48"/>
      <c r="R33" s="48">
        <v>150000000</v>
      </c>
      <c r="S33" s="48">
        <v>36461111</v>
      </c>
      <c r="T33" s="48">
        <v>2000000000</v>
      </c>
      <c r="U33" s="48"/>
      <c r="V33" s="48"/>
      <c r="W33" s="48">
        <v>850000000</v>
      </c>
      <c r="X33" s="48">
        <v>11109273</v>
      </c>
      <c r="Y33" s="48">
        <v>3000000</v>
      </c>
      <c r="Z33" s="48"/>
      <c r="AA33" s="48"/>
      <c r="AB33" s="48"/>
      <c r="AC33" s="48"/>
      <c r="AD33" s="48">
        <v>18890010</v>
      </c>
      <c r="AE33" s="48">
        <f>6228400</f>
        <v>6228400</v>
      </c>
      <c r="AF33" s="48">
        <v>35000000</v>
      </c>
      <c r="AG33" s="48"/>
      <c r="AH33" s="14">
        <f>SUM(C33:AG33)</f>
        <v>3863203019</v>
      </c>
      <c r="AI33" s="17"/>
    </row>
    <row r="34" spans="1:35">
      <c r="A34" s="32" t="s">
        <v>47</v>
      </c>
      <c r="B34" s="11"/>
      <c r="D34" s="6">
        <v>150000000</v>
      </c>
      <c r="F34" s="16">
        <v>760000000</v>
      </c>
      <c r="G34" s="48"/>
      <c r="H34" s="48"/>
      <c r="I34" s="48">
        <v>300000000</v>
      </c>
      <c r="J34" s="48"/>
      <c r="K34" s="48"/>
      <c r="L34" s="48"/>
      <c r="M34" s="48"/>
      <c r="N34" s="48"/>
      <c r="O34" s="48"/>
      <c r="P34" s="48">
        <f>35661833</f>
        <v>35661833</v>
      </c>
      <c r="Q34" s="48"/>
      <c r="R34" s="48"/>
      <c r="S34" s="48"/>
      <c r="T34" s="48">
        <v>428944</v>
      </c>
      <c r="U34" s="48"/>
      <c r="V34" s="48"/>
      <c r="W34" s="48"/>
      <c r="X34" s="48"/>
      <c r="Y34" s="48"/>
      <c r="Z34" s="48"/>
      <c r="AA34" s="48"/>
      <c r="AB34" s="48"/>
      <c r="AC34" s="48"/>
      <c r="AD34" s="48">
        <v>150000000</v>
      </c>
      <c r="AE34" s="48">
        <f>3080930+363082</f>
        <v>3444012</v>
      </c>
      <c r="AF34" s="48">
        <v>28244220</v>
      </c>
      <c r="AG34" s="48"/>
      <c r="AH34" s="14">
        <f>SUM(F34:AG34)</f>
        <v>1277779009</v>
      </c>
      <c r="AI34" s="17"/>
    </row>
    <row r="35" spans="1:35">
      <c r="A35" s="19" t="s">
        <v>32</v>
      </c>
      <c r="B35" s="20"/>
      <c r="C35" s="21">
        <f>SUM(C7:C34)</f>
        <v>250432447</v>
      </c>
      <c r="D35" s="21">
        <f>SUM(D7:D34)</f>
        <v>622654537</v>
      </c>
      <c r="E35" s="21">
        <f>SUM(E7:E34)</f>
        <v>53958351</v>
      </c>
      <c r="F35" s="21">
        <f>SUM(F7:F34)</f>
        <v>910000000</v>
      </c>
      <c r="G35" s="21">
        <f>SUM(G7:G34)</f>
        <v>0</v>
      </c>
      <c r="H35" s="21">
        <f>SUM(H8:H34)</f>
        <v>0</v>
      </c>
      <c r="I35" s="21">
        <f t="shared" ref="I35:N35" si="1">SUM(I7:I34)</f>
        <v>455670026</v>
      </c>
      <c r="J35" s="21">
        <f t="shared" si="1"/>
        <v>0</v>
      </c>
      <c r="K35" s="21">
        <f t="shared" si="1"/>
        <v>0</v>
      </c>
      <c r="L35" s="21">
        <f t="shared" si="1"/>
        <v>0</v>
      </c>
      <c r="M35" s="21">
        <f t="shared" si="1"/>
        <v>487400000</v>
      </c>
      <c r="N35" s="21">
        <f t="shared" si="1"/>
        <v>0</v>
      </c>
      <c r="O35" s="21">
        <f>SUM(O8:O34)</f>
        <v>0</v>
      </c>
      <c r="P35" s="21">
        <f t="shared" ref="P35:AH35" si="2">SUM(P7:P34)</f>
        <v>578561833</v>
      </c>
      <c r="Q35" s="21">
        <f t="shared" si="2"/>
        <v>241300000</v>
      </c>
      <c r="R35" s="21">
        <f t="shared" si="2"/>
        <v>150000000</v>
      </c>
      <c r="S35" s="21">
        <f t="shared" si="2"/>
        <v>36461111</v>
      </c>
      <c r="T35" s="21">
        <f t="shared" si="2"/>
        <v>2107255984</v>
      </c>
      <c r="U35" s="21">
        <f t="shared" si="2"/>
        <v>0</v>
      </c>
      <c r="V35" s="21">
        <f t="shared" si="2"/>
        <v>0</v>
      </c>
      <c r="W35" s="21">
        <f t="shared" si="2"/>
        <v>1117562780</v>
      </c>
      <c r="X35" s="21">
        <f t="shared" si="2"/>
        <v>11109273</v>
      </c>
      <c r="Y35" s="21">
        <f t="shared" si="2"/>
        <v>1541044795</v>
      </c>
      <c r="Z35" s="21">
        <f t="shared" si="2"/>
        <v>0</v>
      </c>
      <c r="AA35" s="21">
        <f t="shared" si="2"/>
        <v>0</v>
      </c>
      <c r="AB35" s="21">
        <f t="shared" si="2"/>
        <v>0</v>
      </c>
      <c r="AC35" s="21">
        <f t="shared" si="2"/>
        <v>0</v>
      </c>
      <c r="AD35" s="21">
        <f t="shared" si="2"/>
        <v>1262858950</v>
      </c>
      <c r="AE35" s="21">
        <f t="shared" si="2"/>
        <v>549585823</v>
      </c>
      <c r="AF35" s="21">
        <f t="shared" si="2"/>
        <v>296544415</v>
      </c>
      <c r="AG35" s="21">
        <f t="shared" si="2"/>
        <v>0</v>
      </c>
      <c r="AH35" s="21">
        <f t="shared" si="2"/>
        <v>9803876015</v>
      </c>
    </row>
    <row r="36" spans="1:35">
      <c r="A36" s="22"/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2"/>
      <c r="AD36" s="12"/>
      <c r="AE36" s="12"/>
      <c r="AF36" s="12"/>
      <c r="AG36" s="12"/>
      <c r="AH36" s="23"/>
      <c r="AI36" s="6"/>
    </row>
    <row r="37" spans="1:35">
      <c r="A37" s="24" t="s">
        <v>33</v>
      </c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23"/>
      <c r="AI37" s="6"/>
    </row>
    <row r="38" spans="1:35">
      <c r="A38" s="25" t="s">
        <v>34</v>
      </c>
      <c r="B38" s="26">
        <v>0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>
        <v>326773584</v>
      </c>
      <c r="AF38" s="26">
        <v>346604658</v>
      </c>
      <c r="AG38" s="26"/>
      <c r="AH38" s="23">
        <f t="shared" ref="AH38:AH48" si="3">SUM(C38:AG38)</f>
        <v>673378242</v>
      </c>
      <c r="AI38" s="17"/>
    </row>
    <row r="39" spans="1:35">
      <c r="A39" s="25" t="s">
        <v>35</v>
      </c>
      <c r="B39" s="26">
        <v>0</v>
      </c>
      <c r="C39" s="16">
        <v>1718235419</v>
      </c>
      <c r="D39" s="16"/>
      <c r="E39" s="26"/>
      <c r="F39" s="26"/>
      <c r="G39" s="26"/>
      <c r="H39" s="16"/>
      <c r="I39" s="26">
        <v>1327673819</v>
      </c>
      <c r="J39" s="16">
        <v>1306461591</v>
      </c>
      <c r="K39" s="16"/>
      <c r="L39" s="26">
        <f>2138635087</f>
        <v>2138635087</v>
      </c>
      <c r="M39" s="26">
        <v>2291844014</v>
      </c>
      <c r="N39" s="26"/>
      <c r="O39" s="26"/>
      <c r="P39" s="26">
        <v>1686739239</v>
      </c>
      <c r="Q39" s="54">
        <v>851306701</v>
      </c>
      <c r="R39" s="26"/>
      <c r="S39" s="26"/>
      <c r="T39" s="26">
        <v>1764638532</v>
      </c>
      <c r="U39" s="26"/>
      <c r="V39" s="26"/>
      <c r="W39" s="26">
        <v>1863845295</v>
      </c>
      <c r="X39" s="26">
        <v>1444728578</v>
      </c>
      <c r="Y39" s="26">
        <v>2347908493</v>
      </c>
      <c r="Z39" s="26"/>
      <c r="AA39" s="26"/>
      <c r="AB39" s="26"/>
      <c r="AC39" s="26"/>
      <c r="AD39" s="42">
        <v>2546659891</v>
      </c>
      <c r="AE39" s="26">
        <v>825754158</v>
      </c>
      <c r="AF39" s="26">
        <v>1199393103</v>
      </c>
      <c r="AG39" s="26"/>
      <c r="AH39" s="23">
        <f t="shared" si="3"/>
        <v>23313823920</v>
      </c>
      <c r="AI39" s="17"/>
    </row>
    <row r="40" spans="1:35" ht="12.75" customHeight="1">
      <c r="A40" s="25"/>
      <c r="B40" s="26"/>
      <c r="C40" s="16"/>
      <c r="D40" s="16"/>
      <c r="E40" s="26"/>
      <c r="F40" s="26"/>
      <c r="G40" s="26"/>
      <c r="H40" s="16"/>
      <c r="I40" s="26"/>
      <c r="J40" s="16"/>
      <c r="K40" s="16"/>
      <c r="L40" s="26"/>
      <c r="M40" s="26"/>
      <c r="N40" s="26"/>
      <c r="O40" s="26"/>
      <c r="P40" s="26"/>
      <c r="Q40" s="54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42"/>
      <c r="AE40" s="26"/>
      <c r="AF40" s="26">
        <v>1870553392</v>
      </c>
      <c r="AG40" s="26"/>
      <c r="AH40" s="23"/>
      <c r="AI40" s="17"/>
    </row>
    <row r="41" spans="1:35" ht="12.75" customHeight="1">
      <c r="A41" s="25"/>
      <c r="B41" s="26"/>
      <c r="C41" s="16"/>
      <c r="D41" s="16"/>
      <c r="E41" s="26"/>
      <c r="F41" s="26"/>
      <c r="G41" s="26"/>
      <c r="H41" s="16"/>
      <c r="I41" s="26"/>
      <c r="J41" s="16"/>
      <c r="K41" s="16"/>
      <c r="L41" s="26"/>
      <c r="M41" s="26"/>
      <c r="N41" s="26"/>
      <c r="O41" s="26"/>
      <c r="P41" s="26"/>
      <c r="Q41" s="54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42"/>
      <c r="AE41" s="26"/>
      <c r="AF41" s="26">
        <v>838512500</v>
      </c>
      <c r="AG41" s="26"/>
      <c r="AH41" s="23"/>
      <c r="AI41" s="17"/>
    </row>
    <row r="42" spans="1:35" ht="12.75" customHeight="1">
      <c r="A42" s="25" t="s">
        <v>36</v>
      </c>
      <c r="B42" s="26">
        <v>0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41"/>
      <c r="Z42" s="26"/>
      <c r="AA42" s="26"/>
      <c r="AB42" s="26"/>
      <c r="AC42" s="26"/>
      <c r="AD42" s="26"/>
      <c r="AE42" s="26"/>
      <c r="AF42" s="26"/>
      <c r="AG42" s="26"/>
      <c r="AH42" s="23">
        <f t="shared" si="3"/>
        <v>0</v>
      </c>
      <c r="AI42" s="17"/>
    </row>
    <row r="43" spans="1:35">
      <c r="A43" s="11" t="s">
        <v>53</v>
      </c>
      <c r="B43" s="26">
        <v>0</v>
      </c>
      <c r="C43" s="26">
        <v>1110986435</v>
      </c>
      <c r="E43" s="26">
        <v>2036395468</v>
      </c>
      <c r="F43" s="26"/>
      <c r="G43" s="26"/>
      <c r="H43" s="26"/>
      <c r="I43" s="26">
        <v>1090469281</v>
      </c>
      <c r="J43" s="26">
        <v>726895736</v>
      </c>
      <c r="K43" s="26"/>
      <c r="L43" s="26"/>
      <c r="M43" s="26">
        <v>111160194</v>
      </c>
      <c r="N43" s="41"/>
      <c r="O43" s="41"/>
      <c r="P43" s="42">
        <v>515808757</v>
      </c>
      <c r="Q43" s="26">
        <v>619061783</v>
      </c>
      <c r="R43" s="26">
        <v>605560872</v>
      </c>
      <c r="S43" s="26">
        <v>1107474388</v>
      </c>
      <c r="T43" s="6">
        <v>521591910</v>
      </c>
      <c r="U43" s="26"/>
      <c r="V43" s="26"/>
      <c r="W43" s="26">
        <v>556971017</v>
      </c>
      <c r="X43" s="42">
        <v>635030790</v>
      </c>
      <c r="Y43" s="26">
        <v>532950972</v>
      </c>
      <c r="Z43" s="26"/>
      <c r="AA43" s="26"/>
      <c r="AB43" s="26"/>
      <c r="AC43" s="26"/>
      <c r="AD43" s="26">
        <v>652924990</v>
      </c>
      <c r="AE43" s="26">
        <v>895071258</v>
      </c>
      <c r="AF43" s="26"/>
      <c r="AG43" s="26"/>
      <c r="AH43" s="23">
        <f t="shared" si="3"/>
        <v>11718353851</v>
      </c>
      <c r="AI43" s="17"/>
    </row>
    <row r="44" spans="1:35" ht="12.75" customHeight="1">
      <c r="A44" s="11" t="s">
        <v>54</v>
      </c>
      <c r="B44" s="26"/>
      <c r="C44" s="26"/>
      <c r="D44" s="26"/>
      <c r="F44" s="26">
        <v>1980218248</v>
      </c>
      <c r="G44" s="26"/>
      <c r="H44" s="26"/>
      <c r="I44" s="26"/>
      <c r="J44" s="26"/>
      <c r="K44" s="26"/>
      <c r="L44" s="26"/>
      <c r="M44" s="26"/>
      <c r="N44" s="26"/>
      <c r="O44" s="26"/>
      <c r="P44" s="42"/>
      <c r="Q44" s="26"/>
      <c r="R44" s="26"/>
      <c r="S44" s="26">
        <v>285122604</v>
      </c>
      <c r="T44" s="26"/>
      <c r="U44" s="26"/>
      <c r="X44" s="41"/>
      <c r="Y44" s="26"/>
      <c r="Z44" s="42"/>
      <c r="AA44" s="26"/>
      <c r="AB44" s="26"/>
      <c r="AC44" s="26"/>
      <c r="AD44" s="26"/>
      <c r="AE44" s="26"/>
      <c r="AF44" s="26"/>
      <c r="AG44" s="26"/>
      <c r="AH44" s="23"/>
      <c r="AI44" s="17"/>
    </row>
    <row r="45" spans="1:35">
      <c r="A45" s="11" t="s">
        <v>37</v>
      </c>
      <c r="B45" s="26">
        <v>0</v>
      </c>
      <c r="E45" s="16">
        <v>704301214</v>
      </c>
      <c r="F45" s="26">
        <v>1192915866</v>
      </c>
      <c r="H45" s="26"/>
      <c r="I45" s="26">
        <v>1008603887</v>
      </c>
      <c r="J45" s="26">
        <v>740128902</v>
      </c>
      <c r="K45" s="26"/>
      <c r="L45" s="26">
        <v>791585121</v>
      </c>
      <c r="M45" s="26">
        <v>1182976257</v>
      </c>
      <c r="N45" s="26"/>
      <c r="O45" s="26"/>
      <c r="P45" s="42">
        <v>1341140417</v>
      </c>
      <c r="Q45" s="26">
        <v>1015164218</v>
      </c>
      <c r="R45" s="26">
        <v>727105094</v>
      </c>
      <c r="S45" s="26">
        <v>506787669</v>
      </c>
      <c r="T45" s="26"/>
      <c r="U45" s="26"/>
      <c r="V45" s="26"/>
      <c r="W45" s="26">
        <f>208635956+7286400</f>
        <v>215922356</v>
      </c>
      <c r="X45" s="42"/>
      <c r="Y45" s="42"/>
      <c r="Z45" s="26"/>
      <c r="AA45" s="26"/>
      <c r="AB45" s="42"/>
      <c r="AC45" s="26"/>
      <c r="AD45" s="26">
        <v>288359959</v>
      </c>
      <c r="AE45" s="26">
        <v>925427499</v>
      </c>
      <c r="AF45" s="26">
        <v>505166476</v>
      </c>
      <c r="AG45" s="26"/>
      <c r="AH45" s="23">
        <f>SUM(E45:AG45)</f>
        <v>11145584935</v>
      </c>
      <c r="AI45" s="17"/>
    </row>
    <row r="46" spans="1:35" ht="12.75" hidden="1" customHeight="1">
      <c r="A46" s="11" t="s">
        <v>38</v>
      </c>
      <c r="B46" s="26">
        <v>0</v>
      </c>
      <c r="C46" s="53"/>
      <c r="D46" s="26"/>
      <c r="E46" s="41"/>
      <c r="F46" s="26"/>
      <c r="G46" s="26"/>
      <c r="H46" s="26"/>
      <c r="I46" s="26"/>
      <c r="J46" s="26"/>
      <c r="K46" s="26"/>
      <c r="L46" s="26"/>
      <c r="M46" s="26"/>
      <c r="N46" s="41"/>
      <c r="O46" s="41"/>
      <c r="P46" s="54"/>
      <c r="Q46" s="41"/>
      <c r="R46" s="42"/>
      <c r="S46" s="26"/>
      <c r="T46" s="26"/>
      <c r="U46" s="26"/>
      <c r="V46" s="41"/>
      <c r="W46" s="42"/>
      <c r="X46" s="41"/>
      <c r="Y46" s="41"/>
      <c r="Z46" s="41"/>
      <c r="AA46" s="26"/>
      <c r="AB46" s="42"/>
      <c r="AC46" s="26"/>
      <c r="AD46" s="26"/>
      <c r="AE46" s="26"/>
      <c r="AF46" s="26"/>
      <c r="AG46" s="26"/>
      <c r="AH46" s="23">
        <f t="shared" si="3"/>
        <v>0</v>
      </c>
      <c r="AI46" s="17"/>
    </row>
    <row r="47" spans="1:35">
      <c r="A47" s="11" t="s">
        <v>39</v>
      </c>
      <c r="B47" s="26">
        <v>0</v>
      </c>
      <c r="C47" s="53">
        <v>966246337</v>
      </c>
      <c r="D47" s="42">
        <v>722785906</v>
      </c>
      <c r="F47" s="26">
        <v>615464841</v>
      </c>
      <c r="G47" s="26"/>
      <c r="H47" s="26"/>
      <c r="I47" s="26">
        <v>802692675</v>
      </c>
      <c r="J47" s="26">
        <v>766518719</v>
      </c>
      <c r="K47" s="26"/>
      <c r="L47" s="26">
        <v>582032019</v>
      </c>
      <c r="M47" s="26">
        <v>1048077809</v>
      </c>
      <c r="N47" s="26"/>
      <c r="O47" s="41"/>
      <c r="P47" s="54">
        <v>354766918</v>
      </c>
      <c r="Q47" s="26">
        <v>793492424</v>
      </c>
      <c r="R47" s="26">
        <v>911286954</v>
      </c>
      <c r="S47" s="26">
        <v>722882534</v>
      </c>
      <c r="T47" s="26">
        <v>680514801</v>
      </c>
      <c r="U47" s="26"/>
      <c r="V47" s="26"/>
      <c r="W47" s="26">
        <v>740340677</v>
      </c>
      <c r="X47" s="42"/>
      <c r="Y47" s="42"/>
      <c r="Z47" s="26"/>
      <c r="AA47" s="26"/>
      <c r="AC47" s="26"/>
      <c r="AD47" s="26">
        <v>369646860</v>
      </c>
      <c r="AE47" s="26">
        <v>732225948</v>
      </c>
      <c r="AF47" s="26">
        <v>730145745</v>
      </c>
      <c r="AG47" s="26"/>
      <c r="AH47" s="23">
        <f>SUM(C47:AG47)</f>
        <v>11539121167</v>
      </c>
      <c r="AI47" s="17"/>
    </row>
    <row r="48" spans="1:35">
      <c r="A48" s="11" t="s">
        <v>40</v>
      </c>
      <c r="B48" s="26">
        <v>0</v>
      </c>
      <c r="C48" s="26"/>
      <c r="D48" s="26"/>
      <c r="E48" s="26">
        <v>1039268164</v>
      </c>
      <c r="F48" s="26"/>
      <c r="G48" s="26"/>
      <c r="H48" s="26"/>
      <c r="I48" s="26"/>
      <c r="J48" s="26">
        <v>732134680</v>
      </c>
      <c r="K48" s="26"/>
      <c r="L48" s="26">
        <v>741865046</v>
      </c>
      <c r="M48" s="26"/>
      <c r="N48" s="26"/>
      <c r="O48" s="26"/>
      <c r="P48" s="54"/>
      <c r="Q48" s="26"/>
      <c r="R48" s="26"/>
      <c r="S48" s="26"/>
      <c r="T48" s="26"/>
      <c r="U48" s="26"/>
      <c r="V48" s="41"/>
      <c r="W48" s="41"/>
      <c r="X48" s="41"/>
      <c r="Y48" s="41"/>
      <c r="Z48" s="41"/>
      <c r="AA48" s="26"/>
      <c r="AB48" s="42"/>
      <c r="AC48" s="26"/>
      <c r="AD48" s="26"/>
      <c r="AE48" s="26"/>
      <c r="AF48" s="26">
        <v>719300418</v>
      </c>
      <c r="AG48" s="26"/>
      <c r="AH48" s="23">
        <f t="shared" si="3"/>
        <v>3232568308</v>
      </c>
      <c r="AI48" s="17"/>
    </row>
    <row r="49" spans="1:39">
      <c r="A49" s="27" t="s">
        <v>41</v>
      </c>
      <c r="B49" s="28"/>
      <c r="C49" s="29">
        <f t="shared" ref="C49:AH49" si="4">SUM(C38:C48)</f>
        <v>3795468191</v>
      </c>
      <c r="D49" s="29">
        <f t="shared" si="4"/>
        <v>722785906</v>
      </c>
      <c r="E49" s="29">
        <f t="shared" si="4"/>
        <v>3779964846</v>
      </c>
      <c r="F49" s="29">
        <f t="shared" si="4"/>
        <v>3788598955</v>
      </c>
      <c r="G49" s="29">
        <f t="shared" si="4"/>
        <v>0</v>
      </c>
      <c r="H49" s="29">
        <f t="shared" si="4"/>
        <v>0</v>
      </c>
      <c r="I49" s="29">
        <f t="shared" si="4"/>
        <v>4229439662</v>
      </c>
      <c r="J49" s="29">
        <f t="shared" si="4"/>
        <v>4272139628</v>
      </c>
      <c r="K49" s="29">
        <f t="shared" si="4"/>
        <v>0</v>
      </c>
      <c r="L49" s="29">
        <f t="shared" si="4"/>
        <v>4254117273</v>
      </c>
      <c r="M49" s="29">
        <f t="shared" si="4"/>
        <v>4634058274</v>
      </c>
      <c r="N49" s="29">
        <f t="shared" si="4"/>
        <v>0</v>
      </c>
      <c r="O49" s="29">
        <f t="shared" si="4"/>
        <v>0</v>
      </c>
      <c r="P49" s="29">
        <f t="shared" si="4"/>
        <v>3898455331</v>
      </c>
      <c r="Q49" s="29">
        <f t="shared" si="4"/>
        <v>3279025126</v>
      </c>
      <c r="R49" s="29">
        <f t="shared" si="4"/>
        <v>2243952920</v>
      </c>
      <c r="S49" s="29">
        <f t="shared" si="4"/>
        <v>2622267195</v>
      </c>
      <c r="T49" s="29">
        <f t="shared" si="4"/>
        <v>2966745243</v>
      </c>
      <c r="U49" s="29">
        <f t="shared" si="4"/>
        <v>0</v>
      </c>
      <c r="V49" s="29">
        <f t="shared" si="4"/>
        <v>0</v>
      </c>
      <c r="W49" s="29">
        <f t="shared" si="4"/>
        <v>3377079345</v>
      </c>
      <c r="X49" s="29">
        <f t="shared" si="4"/>
        <v>2079759368</v>
      </c>
      <c r="Y49" s="29">
        <f t="shared" si="4"/>
        <v>2880859465</v>
      </c>
      <c r="Z49" s="29">
        <f t="shared" si="4"/>
        <v>0</v>
      </c>
      <c r="AA49" s="29">
        <f t="shared" si="4"/>
        <v>0</v>
      </c>
      <c r="AB49" s="29">
        <f t="shared" si="4"/>
        <v>0</v>
      </c>
      <c r="AC49" s="29">
        <f t="shared" si="4"/>
        <v>0</v>
      </c>
      <c r="AD49" s="29">
        <f t="shared" si="4"/>
        <v>3857591700</v>
      </c>
      <c r="AE49" s="29">
        <f t="shared" si="4"/>
        <v>3705252447</v>
      </c>
      <c r="AF49" s="29">
        <f t="shared" si="4"/>
        <v>6209676292</v>
      </c>
      <c r="AG49" s="29">
        <f t="shared" si="4"/>
        <v>0</v>
      </c>
      <c r="AH49" s="30">
        <f t="shared" si="4"/>
        <v>61622830423</v>
      </c>
      <c r="AI49" s="6"/>
      <c r="AM49" s="3" t="s">
        <v>89</v>
      </c>
    </row>
    <row r="50" spans="1:39">
      <c r="A50" s="55" t="s">
        <v>42</v>
      </c>
      <c r="B50" s="56"/>
      <c r="C50" s="31">
        <f t="shared" ref="C50:AG50" si="5">C35+C49</f>
        <v>4045900638</v>
      </c>
      <c r="D50" s="31">
        <f t="shared" si="5"/>
        <v>1345440443</v>
      </c>
      <c r="E50" s="31">
        <f t="shared" si="5"/>
        <v>3833923197</v>
      </c>
      <c r="F50" s="31">
        <f t="shared" si="5"/>
        <v>4698598955</v>
      </c>
      <c r="G50" s="31">
        <f t="shared" si="5"/>
        <v>0</v>
      </c>
      <c r="H50" s="31">
        <f t="shared" si="5"/>
        <v>0</v>
      </c>
      <c r="I50" s="31">
        <f t="shared" si="5"/>
        <v>4685109688</v>
      </c>
      <c r="J50" s="31">
        <f t="shared" si="5"/>
        <v>4272139628</v>
      </c>
      <c r="K50" s="31">
        <f t="shared" si="5"/>
        <v>0</v>
      </c>
      <c r="L50" s="31">
        <f t="shared" si="5"/>
        <v>4254117273</v>
      </c>
      <c r="M50" s="31">
        <f t="shared" si="5"/>
        <v>5121458274</v>
      </c>
      <c r="N50" s="31">
        <f t="shared" si="5"/>
        <v>0</v>
      </c>
      <c r="O50" s="31">
        <f t="shared" si="5"/>
        <v>0</v>
      </c>
      <c r="P50" s="31">
        <f t="shared" si="5"/>
        <v>4477017164</v>
      </c>
      <c r="Q50" s="31">
        <f t="shared" si="5"/>
        <v>3520325126</v>
      </c>
      <c r="R50" s="31">
        <f t="shared" si="5"/>
        <v>2393952920</v>
      </c>
      <c r="S50" s="31">
        <f t="shared" si="5"/>
        <v>2658728306</v>
      </c>
      <c r="T50" s="31">
        <f t="shared" si="5"/>
        <v>5074001227</v>
      </c>
      <c r="U50" s="31">
        <f t="shared" si="5"/>
        <v>0</v>
      </c>
      <c r="V50" s="31">
        <f t="shared" si="5"/>
        <v>0</v>
      </c>
      <c r="W50" s="31">
        <f t="shared" si="5"/>
        <v>4494642125</v>
      </c>
      <c r="X50" s="31">
        <f t="shared" si="5"/>
        <v>2090868641</v>
      </c>
      <c r="Y50" s="31">
        <f t="shared" si="5"/>
        <v>4421904260</v>
      </c>
      <c r="Z50" s="31">
        <f t="shared" si="5"/>
        <v>0</v>
      </c>
      <c r="AA50" s="31">
        <f t="shared" si="5"/>
        <v>0</v>
      </c>
      <c r="AB50" s="31">
        <f t="shared" si="5"/>
        <v>0</v>
      </c>
      <c r="AC50" s="31">
        <f t="shared" si="5"/>
        <v>0</v>
      </c>
      <c r="AD50" s="31">
        <f t="shared" si="5"/>
        <v>5120450650</v>
      </c>
      <c r="AE50" s="31">
        <f t="shared" si="5"/>
        <v>4254838270</v>
      </c>
      <c r="AF50" s="31">
        <f t="shared" si="5"/>
        <v>6506220707</v>
      </c>
      <c r="AG50" s="31">
        <f t="shared" si="5"/>
        <v>0</v>
      </c>
      <c r="AH50" s="31">
        <f>SUM(C50:AG50)</f>
        <v>77269637492</v>
      </c>
    </row>
    <row r="52" spans="1:39">
      <c r="A52" s="3" t="s">
        <v>103</v>
      </c>
      <c r="B52" s="3" t="s">
        <v>50</v>
      </c>
      <c r="C52" s="6">
        <v>4238175120</v>
      </c>
      <c r="D52" s="6">
        <v>3350210218</v>
      </c>
      <c r="E52" s="6">
        <v>4388181345</v>
      </c>
      <c r="F52" s="6">
        <v>5153539898</v>
      </c>
      <c r="G52" s="6"/>
      <c r="H52" s="6"/>
      <c r="I52" s="6">
        <v>5936759301</v>
      </c>
      <c r="J52" s="6">
        <v>6377249084</v>
      </c>
      <c r="K52" s="6"/>
      <c r="L52" s="6">
        <v>5616625685</v>
      </c>
      <c r="M52" s="6">
        <v>5876497826</v>
      </c>
      <c r="N52" s="6"/>
      <c r="O52" s="6"/>
      <c r="P52" s="6">
        <v>6073224797</v>
      </c>
      <c r="Q52" s="6">
        <v>4897751298</v>
      </c>
      <c r="R52" s="6">
        <v>4967018997</v>
      </c>
      <c r="S52" s="6">
        <v>4791423999</v>
      </c>
      <c r="T52" s="6">
        <v>5284086200</v>
      </c>
      <c r="U52" s="6"/>
      <c r="V52" s="6"/>
      <c r="W52" s="6">
        <v>5822194715</v>
      </c>
      <c r="X52" s="6">
        <v>8256881771</v>
      </c>
      <c r="Y52" s="6">
        <v>9707043629</v>
      </c>
      <c r="Z52" s="6">
        <v>8104206220</v>
      </c>
      <c r="AA52" s="6"/>
      <c r="AB52" s="6"/>
      <c r="AD52" s="6">
        <v>14378461920</v>
      </c>
      <c r="AE52" s="6">
        <v>13152497161</v>
      </c>
      <c r="AF52" s="6">
        <v>12284794638</v>
      </c>
    </row>
    <row r="53" spans="1:39">
      <c r="B53" s="3" t="s">
        <v>64</v>
      </c>
      <c r="C53" s="6">
        <f>C52-C50</f>
        <v>192274482</v>
      </c>
      <c r="D53" s="43">
        <f>D52-D50</f>
        <v>2004769775</v>
      </c>
      <c r="E53" s="43">
        <f>E52-E50</f>
        <v>554258148</v>
      </c>
      <c r="F53" s="43">
        <f>F52-F50</f>
        <v>454940943</v>
      </c>
      <c r="G53" s="43"/>
      <c r="H53" s="43"/>
      <c r="I53" s="43">
        <f>I52-I50</f>
        <v>1251649613</v>
      </c>
      <c r="J53" s="40"/>
      <c r="K53" s="40"/>
      <c r="M53" s="43">
        <f>M52-M50</f>
        <v>755039552</v>
      </c>
      <c r="N53" s="40"/>
      <c r="O53" s="40"/>
      <c r="P53" s="40"/>
      <c r="Q53" s="40">
        <f>Q52-Q50</f>
        <v>1377426172</v>
      </c>
      <c r="R53" s="43"/>
      <c r="S53" s="6"/>
      <c r="T53" s="6"/>
      <c r="U53" s="40"/>
      <c r="V53" s="40"/>
      <c r="W53" s="43"/>
      <c r="X53" s="40"/>
      <c r="Y53" s="40"/>
      <c r="Z53" s="6"/>
      <c r="AA53" s="6"/>
      <c r="AB53" s="40"/>
      <c r="AD53" s="40"/>
      <c r="AE53" s="6"/>
      <c r="AF53" s="6"/>
    </row>
    <row r="54" spans="1:39">
      <c r="C54" s="6"/>
      <c r="R54" s="6"/>
      <c r="T54" s="6"/>
      <c r="AA54" s="6"/>
      <c r="AD54" s="43">
        <f>AD52-AD50</f>
        <v>9258011270</v>
      </c>
      <c r="AE54" s="6"/>
      <c r="AF54" s="6"/>
    </row>
    <row r="57" spans="1:39">
      <c r="J57" s="33">
        <f>81182640-13529276</f>
        <v>67653364</v>
      </c>
      <c r="K57" s="26">
        <v>778393887</v>
      </c>
    </row>
    <row r="58" spans="1:39">
      <c r="J58" s="26">
        <v>733024299</v>
      </c>
    </row>
    <row r="59" spans="1:39">
      <c r="J59" s="26">
        <f>209920265+175706258+180266991+212500373</f>
        <v>778393887</v>
      </c>
    </row>
    <row r="61" spans="1:39" ht="15">
      <c r="M61" s="45"/>
      <c r="N61" s="45"/>
      <c r="O61" s="45"/>
      <c r="P61" s="45"/>
      <c r="Q61" s="45"/>
      <c r="R61" s="45"/>
      <c r="S61" s="45"/>
      <c r="T61" s="45"/>
      <c r="U61" s="45"/>
      <c r="V61" s="45"/>
      <c r="W61"/>
      <c r="X61"/>
      <c r="Y61"/>
    </row>
    <row r="62" spans="1:39" ht="15">
      <c r="M62" s="45" t="s">
        <v>92</v>
      </c>
      <c r="N62" s="45"/>
      <c r="O62" s="45"/>
      <c r="P62" s="45"/>
      <c r="Q62" s="45"/>
      <c r="R62" s="45"/>
      <c r="S62" s="45"/>
      <c r="T62" s="45"/>
      <c r="U62" s="45"/>
      <c r="V62" s="45"/>
      <c r="W62"/>
      <c r="X62"/>
      <c r="Y62"/>
    </row>
    <row r="63" spans="1:39" ht="15">
      <c r="M63" s="45" t="s">
        <v>93</v>
      </c>
      <c r="N63" s="45" t="s">
        <v>102</v>
      </c>
      <c r="O63" s="45"/>
      <c r="P63" s="45"/>
      <c r="Q63" s="45"/>
      <c r="R63" s="45"/>
      <c r="S63" s="45"/>
      <c r="T63" s="45"/>
      <c r="U63" s="45"/>
      <c r="V63" s="45"/>
      <c r="W63"/>
      <c r="X63"/>
      <c r="Y63"/>
    </row>
    <row r="64" spans="1:39" ht="15">
      <c r="M64" s="45" t="s">
        <v>94</v>
      </c>
      <c r="N64" s="45"/>
      <c r="O64" s="45"/>
      <c r="P64" s="45"/>
      <c r="Q64" s="45"/>
      <c r="R64" s="45"/>
      <c r="S64" s="45"/>
      <c r="T64" s="45"/>
      <c r="U64" s="45"/>
      <c r="V64" s="45"/>
      <c r="W64"/>
      <c r="X64"/>
      <c r="Y64"/>
    </row>
    <row r="65" spans="13:25" ht="15">
      <c r="M65" s="45"/>
      <c r="N65" s="45"/>
      <c r="O65" s="45"/>
      <c r="P65" s="45"/>
      <c r="Q65" s="45"/>
      <c r="R65" s="45"/>
      <c r="S65" s="45"/>
      <c r="T65" s="45"/>
      <c r="U65" s="45"/>
      <c r="V65" s="45" t="s">
        <v>95</v>
      </c>
      <c r="W65"/>
      <c r="X65"/>
      <c r="Y65"/>
    </row>
    <row r="66" spans="13:25" ht="15">
      <c r="M66" s="45"/>
      <c r="N66" s="45"/>
      <c r="O66" s="45"/>
      <c r="P66" s="45"/>
      <c r="Q66" s="45"/>
      <c r="R66" s="45"/>
      <c r="S66" s="45"/>
      <c r="T66" s="45"/>
      <c r="U66" s="45"/>
      <c r="V66" s="45" t="s">
        <v>96</v>
      </c>
      <c r="W66"/>
      <c r="X66">
        <v>2</v>
      </c>
      <c r="Y66"/>
    </row>
    <row r="67" spans="13:25" ht="15">
      <c r="M67" s="45" t="s">
        <v>97</v>
      </c>
      <c r="N67" s="45"/>
      <c r="O67" s="45"/>
      <c r="P67" s="45"/>
      <c r="Q67" s="45"/>
      <c r="R67" s="45"/>
      <c r="S67" s="45"/>
      <c r="T67" s="45"/>
      <c r="U67" s="45"/>
      <c r="V67" s="45" t="s">
        <v>98</v>
      </c>
      <c r="W67"/>
      <c r="X67">
        <v>2</v>
      </c>
      <c r="Y67"/>
    </row>
    <row r="68" spans="13:25" ht="15">
      <c r="M68" s="45"/>
      <c r="N68" s="45"/>
      <c r="O68" s="45"/>
      <c r="P68" s="45"/>
      <c r="Q68" s="45"/>
      <c r="R68" s="45"/>
      <c r="S68" s="45"/>
      <c r="T68" s="45"/>
      <c r="U68" s="45"/>
      <c r="V68" s="45" t="s">
        <v>99</v>
      </c>
      <c r="W68"/>
      <c r="X68">
        <v>10</v>
      </c>
      <c r="Y68"/>
    </row>
    <row r="69" spans="13:25" ht="15">
      <c r="M69"/>
      <c r="N69"/>
      <c r="O69" s="46"/>
      <c r="P69" s="46"/>
      <c r="Q69" s="46"/>
      <c r="R69" s="46"/>
      <c r="S69" s="46"/>
      <c r="T69" s="46"/>
      <c r="U69" s="46"/>
      <c r="V69" s="47" t="s">
        <v>100</v>
      </c>
      <c r="W69" s="46" t="s">
        <v>101</v>
      </c>
      <c r="X69"/>
      <c r="Y69"/>
    </row>
    <row r="70" spans="13:25" ht="15">
      <c r="M70"/>
      <c r="N70"/>
      <c r="O70" s="46"/>
      <c r="P70" s="46"/>
      <c r="Q70" s="46"/>
      <c r="R70" s="46"/>
      <c r="S70" s="46"/>
      <c r="T70" s="46"/>
      <c r="U70" s="46"/>
      <c r="V70" s="47"/>
      <c r="W70" s="46"/>
      <c r="X70"/>
      <c r="Y70"/>
    </row>
    <row r="71" spans="13:25" ht="15">
      <c r="M71"/>
      <c r="N71"/>
      <c r="O71" s="46"/>
      <c r="P71" s="46"/>
      <c r="Q71" s="46"/>
      <c r="R71" s="46"/>
      <c r="S71" s="46"/>
      <c r="T71" s="46"/>
      <c r="U71" s="46"/>
      <c r="V71" s="46"/>
      <c r="W71" s="46"/>
      <c r="X71"/>
      <c r="Y71"/>
    </row>
  </sheetData>
  <mergeCells count="1">
    <mergeCell ref="C4:AG4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77"/>
  <sheetViews>
    <sheetView topLeftCell="A4" zoomScale="80" zoomScaleNormal="80" workbookViewId="0">
      <pane xSplit="1" topLeftCell="V1" activePane="topRight" state="frozen"/>
      <selection pane="topRight" activeCell="X32" sqref="X32"/>
    </sheetView>
  </sheetViews>
  <sheetFormatPr defaultRowHeight="12.75"/>
  <cols>
    <col min="1" max="1" width="29.140625" style="3" bestFit="1" customWidth="1"/>
    <col min="2" max="2" width="12.85546875" style="3" customWidth="1"/>
    <col min="3" max="3" width="18" style="64" customWidth="1"/>
    <col min="4" max="4" width="16.140625" style="64" customWidth="1"/>
    <col min="5" max="5" width="16.140625" style="3" customWidth="1"/>
    <col min="6" max="6" width="17.140625" style="3" customWidth="1"/>
    <col min="7" max="7" width="17.5703125" style="3" customWidth="1"/>
    <col min="8" max="8" width="17" style="3" customWidth="1"/>
    <col min="9" max="9" width="17.42578125" style="3" customWidth="1"/>
    <col min="10" max="10" width="17.5703125" style="64" customWidth="1"/>
    <col min="11" max="11" width="17.140625" style="64" customWidth="1"/>
    <col min="12" max="12" width="16.5703125" style="3" customWidth="1"/>
    <col min="13" max="14" width="17.5703125" style="3" customWidth="1"/>
    <col min="15" max="15" width="18.28515625" style="3" customWidth="1"/>
    <col min="16" max="16" width="16" style="3" customWidth="1"/>
    <col min="17" max="17" width="18.7109375" style="3" customWidth="1"/>
    <col min="18" max="19" width="14.42578125" style="3" customWidth="1"/>
    <col min="20" max="20" width="14.5703125" style="3" customWidth="1"/>
    <col min="21" max="22" width="15.28515625" style="3" customWidth="1"/>
    <col min="23" max="23" width="16.5703125" style="3" customWidth="1"/>
    <col min="24" max="24" width="17" style="3" customWidth="1"/>
    <col min="25" max="25" width="16" style="3" customWidth="1"/>
    <col min="26" max="26" width="15.28515625" style="3" customWidth="1"/>
    <col min="27" max="27" width="14.85546875" style="3" bestFit="1" customWidth="1"/>
    <col min="28" max="28" width="15.5703125" style="3" customWidth="1"/>
    <col min="29" max="29" width="16.140625" style="3" customWidth="1"/>
    <col min="30" max="30" width="15.85546875" style="3" customWidth="1"/>
    <col min="31" max="31" width="14" style="3" customWidth="1"/>
    <col min="32" max="32" width="14.85546875" style="3" customWidth="1"/>
    <col min="33" max="33" width="12.5703125" style="3" customWidth="1"/>
    <col min="34" max="34" width="17.42578125" style="3" customWidth="1"/>
    <col min="35" max="35" width="13" style="3" customWidth="1"/>
    <col min="36" max="36" width="12.85546875" style="3" customWidth="1"/>
    <col min="37" max="37" width="11.28515625" style="3" bestFit="1" customWidth="1"/>
    <col min="38" max="16384" width="9.140625" style="3"/>
  </cols>
  <sheetData>
    <row r="1" spans="1:35">
      <c r="A1" s="1" t="s">
        <v>0</v>
      </c>
      <c r="B1" s="2"/>
      <c r="C1" s="62"/>
      <c r="D1" s="62"/>
      <c r="E1" s="2"/>
      <c r="F1" s="2"/>
      <c r="G1" s="2"/>
      <c r="H1" s="2"/>
      <c r="I1" s="2"/>
      <c r="J1" s="62"/>
      <c r="K1" s="6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s="6" customFormat="1">
      <c r="A2" s="4" t="s">
        <v>1</v>
      </c>
      <c r="B2" s="5"/>
      <c r="C2" s="63"/>
      <c r="D2" s="63"/>
      <c r="E2" s="5"/>
      <c r="F2" s="5"/>
      <c r="G2" s="5"/>
      <c r="H2" s="5"/>
      <c r="I2" s="5"/>
      <c r="J2" s="63"/>
      <c r="K2" s="63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>
      <c r="A3" s="7" t="s">
        <v>2</v>
      </c>
      <c r="B3" s="8">
        <v>44197</v>
      </c>
      <c r="C3" s="63"/>
      <c r="D3" s="63"/>
      <c r="E3" s="5"/>
      <c r="F3" s="5"/>
      <c r="G3" s="5"/>
      <c r="H3" s="5"/>
      <c r="I3" s="5"/>
      <c r="J3" s="63"/>
      <c r="K3" s="63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>
      <c r="A4" s="34" t="s">
        <v>3</v>
      </c>
      <c r="B4" s="35" t="s">
        <v>4</v>
      </c>
      <c r="C4" s="384" t="s">
        <v>5</v>
      </c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6"/>
      <c r="AH4" s="36" t="s">
        <v>6</v>
      </c>
      <c r="AI4" s="6"/>
    </row>
    <row r="5" spans="1:35">
      <c r="A5" s="34"/>
      <c r="B5" s="35"/>
      <c r="C5" s="37">
        <v>43834</v>
      </c>
      <c r="D5" s="37">
        <v>43835</v>
      </c>
      <c r="E5" s="37">
        <v>43836</v>
      </c>
      <c r="F5" s="37">
        <v>43837</v>
      </c>
      <c r="G5" s="37">
        <v>43838</v>
      </c>
      <c r="H5" s="37">
        <v>43839</v>
      </c>
      <c r="I5" s="37">
        <v>43840</v>
      </c>
      <c r="J5" s="37">
        <v>43841</v>
      </c>
      <c r="K5" s="37">
        <v>43842</v>
      </c>
      <c r="L5" s="37">
        <v>43843</v>
      </c>
      <c r="M5" s="37">
        <v>43844</v>
      </c>
      <c r="N5" s="37">
        <v>43845</v>
      </c>
      <c r="O5" s="37">
        <v>43846</v>
      </c>
      <c r="P5" s="37">
        <v>43847</v>
      </c>
      <c r="Q5" s="37">
        <v>43848</v>
      </c>
      <c r="R5" s="37">
        <v>43849</v>
      </c>
      <c r="S5" s="37">
        <v>43850</v>
      </c>
      <c r="T5" s="37">
        <v>43851</v>
      </c>
      <c r="U5" s="37">
        <v>43852</v>
      </c>
      <c r="V5" s="37">
        <v>43853</v>
      </c>
      <c r="W5" s="37">
        <v>43854</v>
      </c>
      <c r="X5" s="37">
        <v>43855</v>
      </c>
      <c r="Y5" s="37">
        <v>43856</v>
      </c>
      <c r="Z5" s="37">
        <v>43857</v>
      </c>
      <c r="AA5" s="37">
        <v>43858</v>
      </c>
      <c r="AB5" s="37">
        <v>43859</v>
      </c>
      <c r="AC5" s="37">
        <v>43860</v>
      </c>
      <c r="AD5" s="37">
        <v>43861</v>
      </c>
      <c r="AE5" s="37">
        <v>43862</v>
      </c>
      <c r="AF5" s="37">
        <v>43863</v>
      </c>
      <c r="AG5" s="37">
        <v>43864</v>
      </c>
      <c r="AH5" s="36"/>
      <c r="AI5" s="6"/>
    </row>
    <row r="6" spans="1:35">
      <c r="A6" s="10" t="s">
        <v>7</v>
      </c>
      <c r="B6" s="11"/>
      <c r="C6" s="13"/>
      <c r="D6" s="13"/>
      <c r="E6" s="14"/>
      <c r="F6" s="14"/>
      <c r="G6" s="14"/>
      <c r="H6" s="14"/>
      <c r="I6" s="14"/>
      <c r="J6" s="13"/>
      <c r="K6" s="13"/>
      <c r="L6" s="14"/>
      <c r="M6" s="14"/>
      <c r="N6" s="14"/>
      <c r="O6" s="13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2"/>
      <c r="AI6" s="6"/>
    </row>
    <row r="7" spans="1:35">
      <c r="A7" s="15" t="s">
        <v>48</v>
      </c>
      <c r="B7" s="11"/>
      <c r="C7" s="13"/>
      <c r="D7" s="73"/>
      <c r="E7" s="48"/>
      <c r="F7" s="48"/>
      <c r="G7" s="48"/>
      <c r="H7" s="49"/>
      <c r="I7" s="48"/>
      <c r="J7" s="73"/>
      <c r="K7" s="73"/>
      <c r="L7" s="48"/>
      <c r="M7" s="48"/>
      <c r="N7" s="87"/>
      <c r="O7" s="50"/>
      <c r="P7" s="48"/>
      <c r="Q7" s="48"/>
      <c r="R7" s="48"/>
      <c r="S7" s="49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14">
        <f t="shared" ref="AH7:AH36" si="0">SUM(C7:AG7)</f>
        <v>0</v>
      </c>
      <c r="AI7" s="17"/>
    </row>
    <row r="8" spans="1:35">
      <c r="A8" s="15" t="s">
        <v>49</v>
      </c>
      <c r="B8" s="11"/>
      <c r="C8" s="13"/>
      <c r="D8" s="73"/>
      <c r="E8" s="48"/>
      <c r="F8" s="48"/>
      <c r="G8" s="48"/>
      <c r="H8" s="48"/>
      <c r="I8" s="48"/>
      <c r="J8" s="73"/>
      <c r="K8" s="73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14">
        <f t="shared" si="0"/>
        <v>0</v>
      </c>
      <c r="AI8" s="17"/>
    </row>
    <row r="9" spans="1:35">
      <c r="A9" s="15" t="s">
        <v>8</v>
      </c>
      <c r="B9" s="11"/>
      <c r="C9" s="13"/>
      <c r="D9" s="73"/>
      <c r="E9" s="48"/>
      <c r="F9" s="48"/>
      <c r="G9" s="48"/>
      <c r="H9" s="48"/>
      <c r="I9" s="48"/>
      <c r="J9" s="73"/>
      <c r="K9" s="73"/>
      <c r="L9" s="48"/>
      <c r="M9" s="48"/>
      <c r="N9" s="50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14">
        <f t="shared" si="0"/>
        <v>0</v>
      </c>
      <c r="AI9" s="17"/>
    </row>
    <row r="10" spans="1:35">
      <c r="A10" s="15" t="s">
        <v>9</v>
      </c>
      <c r="B10" s="11"/>
      <c r="C10" s="13"/>
      <c r="D10" s="73"/>
      <c r="E10" s="48"/>
      <c r="F10" s="48"/>
      <c r="G10" s="48"/>
      <c r="H10" s="48"/>
      <c r="I10" s="48"/>
      <c r="J10" s="73"/>
      <c r="K10" s="73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14">
        <f>SUM(C10:AG10)</f>
        <v>0</v>
      </c>
      <c r="AI10" s="17"/>
    </row>
    <row r="11" spans="1:35">
      <c r="A11" s="15" t="s">
        <v>10</v>
      </c>
      <c r="B11" s="11"/>
      <c r="C11" s="13"/>
      <c r="D11" s="73"/>
      <c r="E11" s="48"/>
      <c r="F11" s="48"/>
      <c r="G11" s="48"/>
      <c r="H11" s="48"/>
      <c r="I11" s="48"/>
      <c r="J11" s="73"/>
      <c r="K11" s="73"/>
      <c r="L11" s="48"/>
      <c r="M11" s="48"/>
      <c r="N11" s="49"/>
      <c r="O11" s="50"/>
      <c r="P11" s="48"/>
      <c r="Q11" s="48"/>
      <c r="R11" s="48"/>
      <c r="S11" s="48"/>
      <c r="U11" s="48"/>
      <c r="V11" s="48"/>
      <c r="W11" s="48"/>
      <c r="X11" s="48"/>
      <c r="Y11" s="48"/>
      <c r="Z11" s="48"/>
      <c r="AA11" s="48"/>
      <c r="AB11" s="48">
        <v>87880000</v>
      </c>
      <c r="AC11" s="48"/>
      <c r="AD11" s="48"/>
      <c r="AE11" s="48"/>
      <c r="AF11" s="48"/>
      <c r="AG11" s="48"/>
      <c r="AH11" s="14">
        <f t="shared" si="0"/>
        <v>87880000</v>
      </c>
      <c r="AI11" s="17"/>
    </row>
    <row r="12" spans="1:35">
      <c r="A12" s="15" t="s">
        <v>11</v>
      </c>
      <c r="B12" s="11"/>
      <c r="C12" s="13"/>
      <c r="D12" s="73"/>
      <c r="E12" s="48"/>
      <c r="F12" s="48"/>
      <c r="G12" s="48"/>
      <c r="H12" s="48"/>
      <c r="I12" s="48"/>
      <c r="J12" s="73"/>
      <c r="K12" s="73"/>
      <c r="L12" s="48"/>
      <c r="M12" s="48"/>
      <c r="N12" s="48"/>
      <c r="O12" s="48"/>
      <c r="P12" s="48"/>
      <c r="Q12" s="48"/>
      <c r="R12" s="48"/>
      <c r="S12" s="48"/>
      <c r="T12" s="73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14">
        <f t="shared" si="0"/>
        <v>0</v>
      </c>
      <c r="AI12" s="17"/>
    </row>
    <row r="13" spans="1:35">
      <c r="A13" s="18" t="s">
        <v>12</v>
      </c>
      <c r="B13" s="11"/>
      <c r="C13" s="13"/>
      <c r="D13" s="73"/>
      <c r="E13" s="48"/>
      <c r="F13" s="48"/>
      <c r="G13" s="48"/>
      <c r="H13" s="48"/>
      <c r="I13" s="48"/>
      <c r="J13" s="73"/>
      <c r="K13" s="73"/>
      <c r="L13" s="48"/>
      <c r="M13" s="48"/>
      <c r="N13" s="48"/>
      <c r="O13" s="48"/>
      <c r="P13" s="48"/>
      <c r="Q13" s="48"/>
      <c r="R13" s="48"/>
      <c r="S13" s="48"/>
      <c r="T13" s="73"/>
      <c r="U13" s="48"/>
      <c r="V13" s="48"/>
      <c r="W13" s="48"/>
      <c r="X13" s="48"/>
      <c r="Y13" s="79"/>
      <c r="Z13" s="48"/>
      <c r="AA13" s="48"/>
      <c r="AB13" s="57"/>
      <c r="AC13" s="48"/>
      <c r="AD13" s="48"/>
      <c r="AE13" s="48"/>
      <c r="AF13" s="48"/>
      <c r="AG13" s="48"/>
      <c r="AH13" s="14">
        <f t="shared" si="0"/>
        <v>0</v>
      </c>
      <c r="AI13" s="17"/>
    </row>
    <row r="14" spans="1:35">
      <c r="A14" s="18" t="s">
        <v>13</v>
      </c>
      <c r="B14" s="11"/>
      <c r="C14" s="13"/>
      <c r="D14" s="73"/>
      <c r="E14" s="48"/>
      <c r="F14" s="48"/>
      <c r="G14" s="48"/>
      <c r="H14" s="48"/>
      <c r="I14" s="48"/>
      <c r="J14" s="73"/>
      <c r="K14" s="73"/>
      <c r="L14" s="48"/>
      <c r="M14" s="48"/>
      <c r="N14" s="48"/>
      <c r="O14" s="48"/>
      <c r="P14" s="48"/>
      <c r="Q14" s="48"/>
      <c r="R14" s="48"/>
      <c r="S14" s="48"/>
      <c r="T14" s="73"/>
      <c r="U14" s="48"/>
      <c r="V14" s="48"/>
      <c r="W14" s="48"/>
      <c r="X14" s="48"/>
      <c r="Y14" s="79"/>
      <c r="Z14" s="48"/>
      <c r="AA14" s="48"/>
      <c r="AB14" s="57"/>
      <c r="AC14" s="48"/>
      <c r="AD14" s="48"/>
      <c r="AE14" s="48"/>
      <c r="AF14" s="48"/>
      <c r="AG14" s="48"/>
      <c r="AH14" s="14">
        <f>SUM(C14:AG14)</f>
        <v>0</v>
      </c>
      <c r="AI14" s="17"/>
    </row>
    <row r="15" spans="1:35">
      <c r="A15" s="18" t="s">
        <v>14</v>
      </c>
      <c r="B15" s="11"/>
      <c r="C15" s="13"/>
      <c r="D15" s="73"/>
      <c r="E15" s="48"/>
      <c r="F15" s="48"/>
      <c r="G15" s="48"/>
      <c r="H15" s="48"/>
      <c r="I15" s="48"/>
      <c r="J15" s="73"/>
      <c r="K15" s="73"/>
      <c r="L15" s="48"/>
      <c r="M15" s="48"/>
      <c r="N15" s="48"/>
      <c r="O15" s="48"/>
      <c r="P15" s="48"/>
      <c r="Q15" s="48"/>
      <c r="R15" s="48"/>
      <c r="S15" s="48"/>
      <c r="T15" s="73"/>
      <c r="U15" s="48"/>
      <c r="V15" s="48"/>
      <c r="W15" s="48"/>
      <c r="X15" s="48"/>
      <c r="Y15" s="79"/>
      <c r="Z15" s="48"/>
      <c r="AA15" s="48"/>
      <c r="AB15" s="57"/>
      <c r="AC15" s="48"/>
      <c r="AD15" s="48"/>
      <c r="AE15" s="48"/>
      <c r="AF15" s="48"/>
      <c r="AG15" s="48"/>
      <c r="AH15" s="14">
        <f>SUM(C15:AG15)</f>
        <v>0</v>
      </c>
      <c r="AI15" s="17"/>
    </row>
    <row r="16" spans="1:35">
      <c r="A16" s="15" t="s">
        <v>15</v>
      </c>
      <c r="B16" s="11"/>
      <c r="C16" s="13"/>
      <c r="D16" s="73"/>
      <c r="E16" s="48"/>
      <c r="F16" s="48"/>
      <c r="G16" s="48"/>
      <c r="H16" s="48"/>
      <c r="I16" s="48"/>
      <c r="J16" s="73"/>
      <c r="K16" s="73"/>
      <c r="L16" s="73">
        <f>296617464+239690880</f>
        <v>536308344</v>
      </c>
      <c r="M16" s="48"/>
      <c r="N16" s="48"/>
      <c r="O16" s="48"/>
      <c r="P16" s="48"/>
      <c r="Q16" s="48"/>
      <c r="R16" s="48"/>
      <c r="S16" s="48"/>
      <c r="T16" s="73"/>
      <c r="U16" s="48"/>
      <c r="V16" s="48"/>
      <c r="W16" s="48"/>
      <c r="X16" s="48"/>
      <c r="Y16" s="79"/>
      <c r="Z16" s="48"/>
      <c r="AA16" s="48"/>
      <c r="AB16" s="57"/>
      <c r="AC16" s="48"/>
      <c r="AD16" s="48"/>
      <c r="AE16" s="48"/>
      <c r="AF16" s="48"/>
      <c r="AG16" s="48"/>
      <c r="AH16" s="14">
        <f t="shared" si="0"/>
        <v>536308344</v>
      </c>
      <c r="AI16" s="17"/>
    </row>
    <row r="17" spans="1:37">
      <c r="A17" s="15" t="s">
        <v>16</v>
      </c>
      <c r="B17" s="11"/>
      <c r="C17" s="78"/>
      <c r="D17" s="78"/>
      <c r="E17" s="41"/>
      <c r="F17" s="41"/>
      <c r="G17" s="41"/>
      <c r="H17" s="50"/>
      <c r="I17" s="50"/>
      <c r="J17" s="78"/>
      <c r="K17" s="78"/>
      <c r="L17" s="41"/>
      <c r="M17" s="41"/>
      <c r="N17" s="41"/>
      <c r="O17" s="41"/>
      <c r="P17" s="48"/>
      <c r="Q17" s="41"/>
      <c r="R17" s="41"/>
      <c r="S17" s="89">
        <v>243527017</v>
      </c>
      <c r="T17" s="73"/>
      <c r="U17" s="48"/>
      <c r="V17" s="48"/>
      <c r="W17" s="48"/>
      <c r="X17" s="13">
        <v>191222097</v>
      </c>
      <c r="Y17" s="79"/>
      <c r="Z17" s="48"/>
      <c r="AA17" s="48"/>
      <c r="AB17" s="57"/>
      <c r="AC17" s="48"/>
      <c r="AD17" s="48"/>
      <c r="AE17" s="48"/>
      <c r="AF17" s="48"/>
      <c r="AG17" s="48"/>
      <c r="AH17" s="14">
        <f>SUM(H17:AG17)</f>
        <v>434749114</v>
      </c>
      <c r="AI17" s="17"/>
    </row>
    <row r="18" spans="1:37">
      <c r="A18" s="15"/>
      <c r="B18" s="11"/>
      <c r="C18" s="78"/>
      <c r="D18" s="78"/>
      <c r="E18" s="41"/>
      <c r="F18" s="41"/>
      <c r="G18" s="41"/>
      <c r="H18" s="50"/>
      <c r="I18" s="50"/>
      <c r="J18" s="78"/>
      <c r="K18" s="78"/>
      <c r="L18" s="41"/>
      <c r="M18" s="41"/>
      <c r="N18" s="41"/>
      <c r="O18" s="41"/>
      <c r="P18" s="48"/>
      <c r="Q18" s="41"/>
      <c r="R18" s="41"/>
      <c r="T18" s="41"/>
      <c r="V18" s="48"/>
      <c r="W18" s="48"/>
      <c r="X18" s="41"/>
      <c r="Z18" s="41"/>
      <c r="AB18" s="90">
        <v>168327497</v>
      </c>
      <c r="AC18" s="48"/>
      <c r="AD18" s="48"/>
      <c r="AE18" s="48"/>
      <c r="AF18" s="48"/>
      <c r="AG18" s="48"/>
      <c r="AH18" s="14"/>
      <c r="AI18" s="17"/>
    </row>
    <row r="19" spans="1:37">
      <c r="A19" s="15" t="s">
        <v>17</v>
      </c>
      <c r="B19" s="11"/>
      <c r="C19" s="13"/>
      <c r="D19" s="73"/>
      <c r="E19" s="48"/>
      <c r="F19" s="48"/>
      <c r="G19" s="50"/>
      <c r="H19" s="48"/>
      <c r="I19" s="48"/>
      <c r="J19" s="73"/>
      <c r="K19" s="73"/>
      <c r="L19" s="41"/>
      <c r="M19" s="48"/>
      <c r="N19" s="48"/>
      <c r="O19" s="48"/>
      <c r="P19" s="48"/>
      <c r="Q19" s="48"/>
      <c r="R19" s="48"/>
      <c r="S19" s="79"/>
      <c r="T19" s="73"/>
      <c r="U19" s="48"/>
      <c r="V19" s="48"/>
      <c r="W19" s="48"/>
      <c r="X19" s="48"/>
      <c r="Y19" s="79"/>
      <c r="Z19" s="48"/>
      <c r="AA19" s="48"/>
      <c r="AB19" s="57"/>
      <c r="AC19" s="48"/>
      <c r="AD19" s="48"/>
      <c r="AE19" s="48"/>
      <c r="AF19" s="48"/>
      <c r="AG19" s="48"/>
      <c r="AH19" s="14">
        <f t="shared" si="0"/>
        <v>0</v>
      </c>
      <c r="AI19" s="17"/>
    </row>
    <row r="20" spans="1:37">
      <c r="A20" s="15" t="s">
        <v>18</v>
      </c>
      <c r="B20" s="11"/>
      <c r="C20" s="13"/>
      <c r="D20" s="73"/>
      <c r="E20" s="48"/>
      <c r="F20" s="48"/>
      <c r="G20" s="48"/>
      <c r="H20" s="48"/>
      <c r="I20" s="48"/>
      <c r="J20" s="73"/>
      <c r="K20" s="73"/>
      <c r="L20" s="41"/>
      <c r="M20" s="48"/>
      <c r="N20" s="48"/>
      <c r="O20" s="48"/>
      <c r="P20" s="48"/>
      <c r="Q20" s="48"/>
      <c r="R20" s="48"/>
      <c r="S20" s="79"/>
      <c r="T20" s="73"/>
      <c r="U20" s="48"/>
      <c r="V20" s="48"/>
      <c r="X20" s="48"/>
      <c r="Y20" s="79"/>
      <c r="Z20" s="48"/>
      <c r="AA20" s="48"/>
      <c r="AB20" s="57"/>
      <c r="AC20" s="48"/>
      <c r="AD20" s="48"/>
      <c r="AE20" s="48"/>
      <c r="AF20" s="48"/>
      <c r="AG20" s="48"/>
      <c r="AH20" s="14">
        <f t="shared" si="0"/>
        <v>0</v>
      </c>
      <c r="AI20" s="17"/>
    </row>
    <row r="21" spans="1:37" ht="15">
      <c r="A21" s="15" t="s">
        <v>19</v>
      </c>
      <c r="B21" s="11"/>
      <c r="C21" s="13">
        <v>248900000</v>
      </c>
      <c r="D21" s="73"/>
      <c r="E21" s="48"/>
      <c r="F21" s="48"/>
      <c r="G21" s="51"/>
      <c r="H21" s="48"/>
      <c r="I21" s="51"/>
      <c r="J21" s="73"/>
      <c r="K21" s="83"/>
      <c r="L21" s="41"/>
      <c r="M21" s="48"/>
      <c r="N21" s="50"/>
      <c r="O21" s="48"/>
      <c r="P21" s="48"/>
      <c r="Q21" s="48"/>
      <c r="S21" s="79"/>
      <c r="T21" s="73"/>
      <c r="U21" s="48"/>
      <c r="V21" s="48"/>
      <c r="W21" s="48"/>
      <c r="X21" s="48"/>
      <c r="Y21" s="79"/>
      <c r="Z21" s="48"/>
      <c r="AA21" s="48"/>
      <c r="AB21" s="57"/>
      <c r="AC21" s="48"/>
      <c r="AD21" s="48"/>
      <c r="AE21" s="48"/>
      <c r="AF21" s="48"/>
      <c r="AG21" s="48"/>
      <c r="AH21" s="14">
        <f t="shared" si="0"/>
        <v>248900000</v>
      </c>
      <c r="AI21" s="17"/>
    </row>
    <row r="22" spans="1:37" ht="15">
      <c r="A22" s="15" t="s">
        <v>20</v>
      </c>
      <c r="B22" s="11"/>
      <c r="C22" s="13"/>
      <c r="D22" s="73"/>
      <c r="E22" s="48"/>
      <c r="F22" s="48"/>
      <c r="G22" s="52"/>
      <c r="H22" s="48"/>
      <c r="I22" s="48"/>
      <c r="J22" s="73">
        <f>201077800</f>
        <v>201077800</v>
      </c>
      <c r="K22" s="73"/>
      <c r="L22" s="41"/>
      <c r="M22" s="48"/>
      <c r="N22" s="79"/>
      <c r="O22" s="48"/>
      <c r="P22" s="48"/>
      <c r="Q22" s="48"/>
      <c r="R22" s="48"/>
      <c r="S22" s="79"/>
      <c r="T22" s="73"/>
      <c r="U22" s="48"/>
      <c r="V22" s="48"/>
      <c r="W22" s="48"/>
      <c r="X22" s="48"/>
      <c r="Y22" s="79"/>
      <c r="Z22" s="48"/>
      <c r="AA22" s="48"/>
      <c r="AB22" s="57"/>
      <c r="AC22" s="48"/>
      <c r="AD22" s="48"/>
      <c r="AE22" s="48"/>
      <c r="AF22" s="48"/>
      <c r="AG22" s="48"/>
      <c r="AH22" s="14">
        <f t="shared" si="0"/>
        <v>201077800</v>
      </c>
      <c r="AI22" s="17"/>
    </row>
    <row r="23" spans="1:37">
      <c r="A23" s="15" t="s">
        <v>43</v>
      </c>
      <c r="B23" s="11"/>
      <c r="C23" s="13">
        <v>131418320</v>
      </c>
      <c r="D23" s="73"/>
      <c r="E23" s="48"/>
      <c r="F23" s="48"/>
      <c r="G23" s="48"/>
      <c r="H23" s="48"/>
      <c r="I23" s="48"/>
      <c r="J23" s="73">
        <f>133751992</f>
        <v>133751992</v>
      </c>
      <c r="K23" s="73"/>
      <c r="L23" s="41"/>
      <c r="M23" s="73">
        <v>89029688</v>
      </c>
      <c r="N23" s="79"/>
      <c r="O23" s="48"/>
      <c r="P23" s="48"/>
      <c r="Q23" s="73">
        <v>140728720</v>
      </c>
      <c r="R23" s="48"/>
      <c r="S23" s="79"/>
      <c r="T23" s="73"/>
      <c r="U23" s="48"/>
      <c r="V23" s="48"/>
      <c r="W23" s="48"/>
      <c r="X23" s="48"/>
      <c r="Y23" s="79"/>
      <c r="Z23" s="48"/>
      <c r="AA23" s="73">
        <v>80211120</v>
      </c>
      <c r="AB23" s="57"/>
      <c r="AC23" s="48"/>
      <c r="AE23" s="48"/>
      <c r="AF23" s="48"/>
      <c r="AG23" s="48"/>
      <c r="AH23" s="14">
        <f t="shared" si="0"/>
        <v>575139840</v>
      </c>
      <c r="AI23" s="17">
        <f>390501249-392501249</f>
        <v>-2000000</v>
      </c>
    </row>
    <row r="24" spans="1:37">
      <c r="A24" s="15" t="s">
        <v>44</v>
      </c>
      <c r="B24" s="11"/>
      <c r="C24" s="13"/>
      <c r="D24" s="73"/>
      <c r="E24" s="48"/>
      <c r="F24" s="48"/>
      <c r="G24" s="48"/>
      <c r="H24" s="48"/>
      <c r="I24" s="48"/>
      <c r="J24" s="84"/>
      <c r="K24" s="73"/>
      <c r="L24" s="41"/>
      <c r="M24" s="48"/>
      <c r="N24" s="79"/>
      <c r="O24" s="48"/>
      <c r="P24" s="48"/>
      <c r="Q24" s="48"/>
      <c r="R24" s="73">
        <f>66330892+144853632-122597507-28115615</f>
        <v>60471402</v>
      </c>
      <c r="S24" s="48"/>
      <c r="T24" s="73"/>
      <c r="U24" s="48"/>
      <c r="V24" s="48"/>
      <c r="W24" s="48"/>
      <c r="X24" s="48"/>
      <c r="Y24" s="79"/>
      <c r="Z24" s="48"/>
      <c r="AA24" s="48"/>
      <c r="AB24" s="57"/>
      <c r="AC24" s="48"/>
      <c r="AD24" s="48"/>
      <c r="AE24" s="48"/>
      <c r="AF24" s="17"/>
      <c r="AG24" s="48"/>
      <c r="AH24" s="14">
        <f>SUM(C24:AG24)</f>
        <v>60471402</v>
      </c>
    </row>
    <row r="25" spans="1:37">
      <c r="A25" s="15" t="s">
        <v>21</v>
      </c>
      <c r="B25" s="11"/>
      <c r="C25" s="13"/>
      <c r="D25" s="73"/>
      <c r="E25" s="48"/>
      <c r="F25" s="48"/>
      <c r="G25" s="48"/>
      <c r="H25" s="48"/>
      <c r="I25" s="48"/>
      <c r="J25" s="84"/>
      <c r="K25" s="73"/>
      <c r="L25" s="41"/>
      <c r="M25" s="48"/>
      <c r="N25" s="79"/>
      <c r="O25" s="48"/>
      <c r="P25" s="48"/>
      <c r="Q25" s="48"/>
      <c r="R25" s="48"/>
      <c r="S25" s="48"/>
      <c r="T25" s="73"/>
      <c r="U25" s="48"/>
      <c r="V25" s="48"/>
      <c r="W25" s="48"/>
      <c r="X25" s="48"/>
      <c r="Y25" s="79"/>
      <c r="Z25" s="48"/>
      <c r="AA25" s="48"/>
      <c r="AB25" s="57"/>
      <c r="AC25" s="48"/>
      <c r="AD25" s="48"/>
      <c r="AE25" s="48"/>
      <c r="AF25" s="48"/>
      <c r="AG25" s="48"/>
      <c r="AH25" s="14">
        <f t="shared" si="0"/>
        <v>0</v>
      </c>
      <c r="AI25" s="17"/>
    </row>
    <row r="26" spans="1:37">
      <c r="A26" s="15" t="s">
        <v>22</v>
      </c>
      <c r="B26" s="11"/>
      <c r="C26" s="13"/>
      <c r="D26" s="73"/>
      <c r="E26" s="48"/>
      <c r="F26" s="48"/>
      <c r="G26" s="48"/>
      <c r="H26" s="48"/>
      <c r="I26" s="48"/>
      <c r="J26" s="84"/>
      <c r="K26" s="73"/>
      <c r="L26" s="41"/>
      <c r="M26" s="48"/>
      <c r="N26" s="79"/>
      <c r="O26" s="48"/>
      <c r="P26" s="48"/>
      <c r="Q26" s="48"/>
      <c r="R26" s="48"/>
      <c r="S26" s="48"/>
      <c r="T26" s="73"/>
      <c r="U26" s="48"/>
      <c r="V26" s="48"/>
      <c r="W26" s="48"/>
      <c r="X26" s="48"/>
      <c r="Y26" s="79"/>
      <c r="Z26" s="48"/>
      <c r="AA26" s="48"/>
      <c r="AB26" s="57"/>
      <c r="AC26" s="48"/>
      <c r="AD26" s="48"/>
      <c r="AE26" s="48"/>
      <c r="AF26" s="48"/>
      <c r="AG26" s="48"/>
      <c r="AH26" s="14">
        <f t="shared" si="0"/>
        <v>0</v>
      </c>
      <c r="AI26" s="17"/>
    </row>
    <row r="27" spans="1:37">
      <c r="A27" s="15" t="s">
        <v>23</v>
      </c>
      <c r="B27" s="11"/>
      <c r="C27" s="13"/>
      <c r="D27" s="73"/>
      <c r="E27" s="48"/>
      <c r="F27" s="48"/>
      <c r="G27" s="48"/>
      <c r="H27" s="48"/>
      <c r="I27" s="48"/>
      <c r="J27" s="84"/>
      <c r="K27" s="73"/>
      <c r="L27" s="41"/>
      <c r="M27" s="48"/>
      <c r="N27" s="79"/>
      <c r="O27" s="48"/>
      <c r="P27" s="48"/>
      <c r="Q27" s="48"/>
      <c r="R27" s="48"/>
      <c r="S27" s="48"/>
      <c r="T27" s="73"/>
      <c r="U27" s="48"/>
      <c r="V27" s="48"/>
      <c r="W27" s="48"/>
      <c r="X27" s="48"/>
      <c r="Y27" s="79"/>
      <c r="Z27" s="50"/>
      <c r="AA27" s="50"/>
      <c r="AB27" s="49"/>
      <c r="AC27" s="48"/>
      <c r="AD27" s="48"/>
      <c r="AE27" s="48"/>
      <c r="AF27" s="48"/>
      <c r="AG27" s="48"/>
      <c r="AH27" s="14">
        <f t="shared" si="0"/>
        <v>0</v>
      </c>
      <c r="AI27" s="17"/>
    </row>
    <row r="28" spans="1:37">
      <c r="A28" s="15" t="s">
        <v>45</v>
      </c>
      <c r="B28" s="11"/>
      <c r="C28" s="13"/>
      <c r="D28" s="78"/>
      <c r="E28" s="41"/>
      <c r="F28" s="41"/>
      <c r="G28" s="41"/>
      <c r="H28" s="48"/>
      <c r="I28" s="48"/>
      <c r="J28" s="85"/>
      <c r="K28" s="78"/>
      <c r="L28" s="41"/>
      <c r="M28" s="41"/>
      <c r="N28" s="88"/>
      <c r="O28" s="41"/>
      <c r="P28" s="48"/>
      <c r="Q28" s="41"/>
      <c r="R28" s="41"/>
      <c r="S28" s="41"/>
      <c r="T28" s="41"/>
      <c r="U28" s="41"/>
      <c r="V28" s="48"/>
      <c r="W28" s="48"/>
      <c r="X28" s="41"/>
      <c r="Y28" s="88"/>
      <c r="Z28" s="41"/>
      <c r="AA28" s="41"/>
      <c r="AB28" s="86">
        <v>86625000</v>
      </c>
      <c r="AC28" s="50"/>
      <c r="AD28" s="48"/>
      <c r="AE28" s="48"/>
      <c r="AF28" s="48"/>
      <c r="AG28" s="48"/>
      <c r="AH28" s="14">
        <f t="shared" si="0"/>
        <v>86625000</v>
      </c>
      <c r="AI28" s="17"/>
      <c r="AJ28" s="33">
        <v>245437500</v>
      </c>
      <c r="AK28" s="44">
        <v>44137</v>
      </c>
    </row>
    <row r="29" spans="1:37">
      <c r="A29" s="15"/>
      <c r="B29" s="11"/>
      <c r="C29" s="13"/>
      <c r="D29" s="78"/>
      <c r="E29" s="41"/>
      <c r="F29" s="41"/>
      <c r="G29" s="41"/>
      <c r="H29" s="48"/>
      <c r="I29" s="48"/>
      <c r="J29" s="85"/>
      <c r="K29" s="78"/>
      <c r="L29" s="41"/>
      <c r="M29" s="41"/>
      <c r="N29" s="88"/>
      <c r="O29" s="41"/>
      <c r="P29" s="48"/>
      <c r="Q29" s="41"/>
      <c r="R29" s="41"/>
      <c r="S29" s="41"/>
      <c r="T29" s="41"/>
      <c r="U29" s="41"/>
      <c r="V29" s="48"/>
      <c r="W29" s="48"/>
      <c r="X29" s="41"/>
      <c r="Y29" s="88"/>
      <c r="Z29" s="41"/>
      <c r="AA29" s="41"/>
      <c r="AB29" s="86">
        <v>92400000</v>
      </c>
      <c r="AC29" s="50"/>
      <c r="AD29" s="48"/>
      <c r="AE29" s="48"/>
      <c r="AF29" s="48"/>
      <c r="AG29" s="48"/>
      <c r="AH29" s="14"/>
      <c r="AI29" s="17"/>
      <c r="AJ29" s="82"/>
      <c r="AK29" s="44"/>
    </row>
    <row r="30" spans="1:37">
      <c r="A30" s="15"/>
      <c r="B30" s="11"/>
      <c r="C30" s="13"/>
      <c r="D30" s="78"/>
      <c r="E30" s="41"/>
      <c r="F30" s="41"/>
      <c r="G30" s="41"/>
      <c r="H30" s="48"/>
      <c r="I30" s="48"/>
      <c r="J30" s="85"/>
      <c r="K30" s="78"/>
      <c r="L30" s="41"/>
      <c r="M30" s="41"/>
      <c r="N30" s="88"/>
      <c r="O30" s="41"/>
      <c r="P30" s="48"/>
      <c r="Q30" s="41"/>
      <c r="R30" s="41"/>
      <c r="S30" s="41"/>
      <c r="T30" s="41"/>
      <c r="U30" s="41"/>
      <c r="V30" s="48"/>
      <c r="W30" s="48"/>
      <c r="X30" s="41"/>
      <c r="Y30" s="88"/>
      <c r="Z30" s="41"/>
      <c r="AA30" s="41"/>
      <c r="AB30" s="86">
        <v>86625000</v>
      </c>
      <c r="AC30" s="50"/>
      <c r="AD30" s="48"/>
      <c r="AE30" s="48"/>
      <c r="AF30" s="48"/>
      <c r="AG30" s="48"/>
      <c r="AH30" s="14"/>
      <c r="AI30" s="17"/>
      <c r="AJ30" s="82"/>
      <c r="AK30" s="44"/>
    </row>
    <row r="31" spans="1:37">
      <c r="A31" s="15"/>
      <c r="B31" s="11"/>
      <c r="C31" s="13"/>
      <c r="D31" s="78"/>
      <c r="E31" s="41"/>
      <c r="F31" s="41"/>
      <c r="G31" s="41"/>
      <c r="H31" s="48"/>
      <c r="I31" s="48"/>
      <c r="J31" s="85"/>
      <c r="K31" s="78"/>
      <c r="L31" s="41"/>
      <c r="M31" s="41"/>
      <c r="N31" s="88"/>
      <c r="O31" s="41"/>
      <c r="P31" s="48"/>
      <c r="Q31" s="41"/>
      <c r="R31" s="41"/>
      <c r="S31" s="86"/>
      <c r="T31" s="41"/>
      <c r="U31" s="41"/>
      <c r="V31" s="48"/>
      <c r="W31" s="48"/>
      <c r="X31" s="41"/>
      <c r="Y31" s="88"/>
      <c r="Z31" s="41"/>
      <c r="AA31" s="41"/>
      <c r="AB31" s="48">
        <v>91951200</v>
      </c>
      <c r="AC31" s="50"/>
      <c r="AD31" s="48"/>
      <c r="AE31" s="48"/>
      <c r="AF31" s="48"/>
      <c r="AG31" s="48"/>
      <c r="AH31" s="14"/>
      <c r="AI31" s="17"/>
      <c r="AJ31" s="82"/>
      <c r="AK31" s="44"/>
    </row>
    <row r="32" spans="1:37">
      <c r="A32" s="15" t="s">
        <v>24</v>
      </c>
      <c r="B32" s="11"/>
      <c r="C32" s="13"/>
      <c r="D32" s="73"/>
      <c r="E32" s="48"/>
      <c r="F32" s="48"/>
      <c r="G32" s="48"/>
      <c r="H32" s="48"/>
      <c r="I32" s="48"/>
      <c r="J32" s="84"/>
      <c r="K32" s="73"/>
      <c r="L32" s="48"/>
      <c r="M32" s="48"/>
      <c r="N32" s="79"/>
      <c r="O32" s="48"/>
      <c r="P32" s="48"/>
      <c r="Q32" s="48"/>
      <c r="R32" s="48"/>
      <c r="S32" s="48"/>
      <c r="T32" s="73"/>
      <c r="U32" s="48"/>
      <c r="V32" s="48"/>
      <c r="W32" s="48"/>
      <c r="X32" s="73">
        <v>55291215</v>
      </c>
      <c r="Y32" s="41"/>
      <c r="Z32" s="48"/>
      <c r="AA32" s="48"/>
      <c r="AB32" s="48"/>
      <c r="AC32" s="48"/>
      <c r="AD32" s="48"/>
      <c r="AE32" s="48"/>
      <c r="AF32" s="48"/>
      <c r="AG32" s="48"/>
      <c r="AH32" s="14">
        <f>SUM(C32:AG32)</f>
        <v>55291215</v>
      </c>
      <c r="AI32" s="17"/>
    </row>
    <row r="33" spans="1:36">
      <c r="A33" s="15" t="s">
        <v>25</v>
      </c>
      <c r="B33" s="11"/>
      <c r="C33" s="13"/>
      <c r="D33" s="73"/>
      <c r="E33" s="48"/>
      <c r="F33" s="48"/>
      <c r="G33" s="77">
        <v>177363970</v>
      </c>
      <c r="H33" s="41"/>
      <c r="I33" s="48"/>
      <c r="J33" s="84"/>
      <c r="K33" s="73"/>
      <c r="L33" s="48"/>
      <c r="M33" s="48"/>
      <c r="N33" s="79"/>
      <c r="O33" s="48"/>
      <c r="P33" s="48"/>
      <c r="Q33" s="48"/>
      <c r="R33" s="48"/>
      <c r="S33" s="48"/>
      <c r="T33" s="73"/>
      <c r="U33" s="48"/>
      <c r="V33" s="48"/>
      <c r="W33" s="48"/>
      <c r="X33" s="48"/>
      <c r="Y33" s="48"/>
      <c r="Z33" s="48"/>
      <c r="AA33" s="48"/>
      <c r="AB33" s="48"/>
      <c r="AC33" s="48"/>
      <c r="AE33" s="48"/>
      <c r="AF33" s="48"/>
      <c r="AG33" s="48"/>
      <c r="AH33" s="14">
        <f>SUM(C33:AG33)</f>
        <v>177363970</v>
      </c>
      <c r="AI33" s="17"/>
      <c r="AJ33" s="48">
        <v>127684117</v>
      </c>
    </row>
    <row r="34" spans="1:36">
      <c r="A34" s="15" t="s">
        <v>26</v>
      </c>
      <c r="B34" s="11"/>
      <c r="C34" s="13"/>
      <c r="D34" s="73"/>
      <c r="E34" s="48"/>
      <c r="F34" s="48"/>
      <c r="G34" s="48"/>
      <c r="H34" s="48"/>
      <c r="I34" s="48"/>
      <c r="J34" s="84"/>
      <c r="K34" s="73"/>
      <c r="L34" s="48"/>
      <c r="M34" s="48"/>
      <c r="N34" s="79"/>
      <c r="O34" s="48"/>
      <c r="P34" s="48"/>
      <c r="Q34" s="73">
        <v>511658733</v>
      </c>
      <c r="R34" s="48"/>
      <c r="S34" s="48"/>
      <c r="T34" s="48"/>
      <c r="U34" s="48"/>
      <c r="V34" s="48"/>
      <c r="W34" s="48"/>
      <c r="X34" s="73"/>
      <c r="Y34" s="48"/>
      <c r="Z34" s="48"/>
      <c r="AA34" s="48"/>
      <c r="AB34" s="48"/>
      <c r="AC34" s="48"/>
      <c r="AD34" s="48"/>
      <c r="AE34" s="48"/>
      <c r="AF34" s="48"/>
      <c r="AG34" s="48"/>
      <c r="AH34" s="14">
        <f>SUM(C34:AG34)</f>
        <v>511658733</v>
      </c>
      <c r="AI34" s="17"/>
    </row>
    <row r="35" spans="1:36" ht="15">
      <c r="A35" s="15" t="s">
        <v>27</v>
      </c>
      <c r="B35" s="11"/>
      <c r="C35" s="13"/>
      <c r="D35" s="13"/>
      <c r="E35" s="48"/>
      <c r="F35" s="48"/>
      <c r="G35" s="48"/>
      <c r="H35" s="51"/>
      <c r="I35" s="51"/>
      <c r="J35" s="73">
        <f>93887500-9941600</f>
        <v>83945900</v>
      </c>
      <c r="K35" s="73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14">
        <f t="shared" si="0"/>
        <v>83945900</v>
      </c>
      <c r="AI35" s="17"/>
    </row>
    <row r="36" spans="1:36">
      <c r="A36" s="15" t="s">
        <v>28</v>
      </c>
      <c r="B36" s="11"/>
      <c r="C36" s="13"/>
      <c r="D36" s="73"/>
      <c r="E36" s="48"/>
      <c r="F36" s="48"/>
      <c r="G36" s="48"/>
      <c r="H36" s="48"/>
      <c r="I36" s="48"/>
      <c r="J36" s="73"/>
      <c r="K36" s="73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14">
        <f t="shared" si="0"/>
        <v>0</v>
      </c>
      <c r="AI36" s="17"/>
    </row>
    <row r="37" spans="1:36">
      <c r="A37" s="15" t="s">
        <v>29</v>
      </c>
      <c r="B37" s="11"/>
      <c r="C37" s="13"/>
      <c r="D37" s="73"/>
      <c r="E37" s="48"/>
      <c r="F37" s="48"/>
      <c r="G37" s="48"/>
      <c r="H37" s="48"/>
      <c r="I37" s="48"/>
      <c r="J37" s="73"/>
      <c r="K37" s="73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14">
        <f>SUM(C37:AG37)</f>
        <v>0</v>
      </c>
      <c r="AI37" s="17"/>
    </row>
    <row r="38" spans="1:36">
      <c r="A38" s="15" t="s">
        <v>30</v>
      </c>
      <c r="B38" s="11"/>
      <c r="C38" s="13"/>
      <c r="D38" s="73"/>
      <c r="E38" s="57"/>
      <c r="F38" s="48"/>
      <c r="G38" s="48"/>
      <c r="H38" s="48"/>
      <c r="I38" s="48"/>
      <c r="J38" s="73"/>
      <c r="K38" s="73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14">
        <f>SUM(C38:AG38)</f>
        <v>0</v>
      </c>
      <c r="AI38" s="17"/>
    </row>
    <row r="39" spans="1:36">
      <c r="A39" s="15" t="s">
        <v>31</v>
      </c>
      <c r="B39" s="11"/>
      <c r="C39" s="13">
        <v>171112013</v>
      </c>
      <c r="D39" s="73"/>
      <c r="E39" s="57"/>
      <c r="F39" s="48"/>
      <c r="G39" s="48"/>
      <c r="H39" s="48"/>
      <c r="I39" s="48"/>
      <c r="J39" s="73"/>
      <c r="K39" s="73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14">
        <f>SUM(C39:AG39)</f>
        <v>171112013</v>
      </c>
      <c r="AI39" s="17"/>
    </row>
    <row r="40" spans="1:36">
      <c r="A40" s="32" t="s">
        <v>46</v>
      </c>
      <c r="B40" s="11"/>
      <c r="C40" s="13">
        <f>350000000+3431510+55990329</f>
        <v>409421839</v>
      </c>
      <c r="D40" s="13"/>
      <c r="E40" s="57"/>
      <c r="F40" s="48"/>
      <c r="G40" s="48">
        <v>400000000</v>
      </c>
      <c r="H40" s="48"/>
      <c r="I40" s="48"/>
      <c r="J40" s="73">
        <v>150000000</v>
      </c>
      <c r="K40" s="73">
        <v>200000000</v>
      </c>
      <c r="L40" s="73">
        <v>239696423</v>
      </c>
      <c r="M40" s="48"/>
      <c r="N40" s="48"/>
      <c r="O40" s="48"/>
      <c r="P40" s="48"/>
      <c r="Q40" s="73">
        <v>800000000</v>
      </c>
      <c r="R40" s="73">
        <v>12499267</v>
      </c>
      <c r="S40" s="73">
        <v>8947387</v>
      </c>
      <c r="T40" s="73">
        <v>6191234</v>
      </c>
      <c r="U40" s="73">
        <v>9583466</v>
      </c>
      <c r="V40" s="48"/>
      <c r="W40" s="48"/>
      <c r="X40" s="73">
        <v>2500000000</v>
      </c>
      <c r="Y40" s="73">
        <v>83961111</v>
      </c>
      <c r="Z40" s="48"/>
      <c r="AA40" s="48"/>
      <c r="AB40" s="73">
        <v>350000000</v>
      </c>
      <c r="AC40" s="48"/>
      <c r="AD40" s="48"/>
      <c r="AE40" s="48"/>
      <c r="AF40" s="48"/>
      <c r="AG40" s="48"/>
      <c r="AH40" s="14">
        <f>SUM(C40:AG40)</f>
        <v>5170300727</v>
      </c>
      <c r="AI40" s="17"/>
    </row>
    <row r="41" spans="1:36">
      <c r="A41" s="32" t="s">
        <v>47</v>
      </c>
      <c r="B41" s="11"/>
      <c r="C41" s="65">
        <f>104258503+72924865+82547667</f>
        <v>259731035</v>
      </c>
      <c r="D41" s="65"/>
      <c r="F41" s="16"/>
      <c r="G41" s="48"/>
      <c r="H41" s="48"/>
      <c r="I41" s="48"/>
      <c r="J41" s="73">
        <f>110602494+23309003</f>
        <v>133911497</v>
      </c>
      <c r="K41" s="73">
        <f>3010443+12000689</f>
        <v>15011132</v>
      </c>
      <c r="L41" s="73">
        <v>12813087</v>
      </c>
      <c r="M41" s="48"/>
      <c r="N41" s="48"/>
      <c r="O41" s="48"/>
      <c r="P41" s="48"/>
      <c r="Q41" s="73">
        <v>26924196</v>
      </c>
      <c r="R41" s="48"/>
      <c r="S41" s="73">
        <v>1400000000</v>
      </c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14">
        <f>SUM(F41:AG41)</f>
        <v>1588659912</v>
      </c>
      <c r="AI41" s="17"/>
    </row>
    <row r="42" spans="1:36">
      <c r="A42" s="19" t="s">
        <v>32</v>
      </c>
      <c r="B42" s="20"/>
      <c r="C42" s="66">
        <f>SUM(C7:C41)</f>
        <v>1220583207</v>
      </c>
      <c r="D42" s="66">
        <f>SUM(D7:D41)</f>
        <v>0</v>
      </c>
      <c r="E42" s="58">
        <f>SUM(E7:E41)</f>
        <v>0</v>
      </c>
      <c r="F42" s="21">
        <f>SUM(F7:F41)</f>
        <v>0</v>
      </c>
      <c r="G42" s="21">
        <f>SUM(G7:G41)</f>
        <v>577363970</v>
      </c>
      <c r="H42" s="21">
        <f>SUM(H8:H41)</f>
        <v>0</v>
      </c>
      <c r="I42" s="21">
        <f t="shared" ref="I42:N42" si="1">SUM(I7:I41)</f>
        <v>0</v>
      </c>
      <c r="J42" s="66">
        <f t="shared" si="1"/>
        <v>702687189</v>
      </c>
      <c r="K42" s="66">
        <f t="shared" si="1"/>
        <v>215011132</v>
      </c>
      <c r="L42" s="21">
        <f t="shared" si="1"/>
        <v>788817854</v>
      </c>
      <c r="M42" s="21">
        <f t="shared" si="1"/>
        <v>89029688</v>
      </c>
      <c r="N42" s="21">
        <f t="shared" si="1"/>
        <v>0</v>
      </c>
      <c r="O42" s="21">
        <f>SUM(O8:O41)</f>
        <v>0</v>
      </c>
      <c r="P42" s="21">
        <f t="shared" ref="P42:AH42" si="2">SUM(P7:P41)</f>
        <v>0</v>
      </c>
      <c r="Q42" s="21">
        <f t="shared" si="2"/>
        <v>1479311649</v>
      </c>
      <c r="R42" s="21">
        <f>SUM(R7:R41)</f>
        <v>72970669</v>
      </c>
      <c r="S42" s="21">
        <f t="shared" si="2"/>
        <v>1652474404</v>
      </c>
      <c r="T42" s="21">
        <f t="shared" si="2"/>
        <v>6191234</v>
      </c>
      <c r="U42" s="21">
        <f t="shared" si="2"/>
        <v>9583466</v>
      </c>
      <c r="V42" s="21">
        <f t="shared" si="2"/>
        <v>0</v>
      </c>
      <c r="W42" s="21">
        <f t="shared" si="2"/>
        <v>0</v>
      </c>
      <c r="X42" s="21">
        <f t="shared" si="2"/>
        <v>2746513312</v>
      </c>
      <c r="Y42" s="21">
        <f t="shared" si="2"/>
        <v>83961111</v>
      </c>
      <c r="Z42" s="21">
        <f t="shared" si="2"/>
        <v>0</v>
      </c>
      <c r="AA42" s="21">
        <f t="shared" si="2"/>
        <v>80211120</v>
      </c>
      <c r="AB42" s="21">
        <f t="shared" si="2"/>
        <v>963808697</v>
      </c>
      <c r="AC42" s="21">
        <f t="shared" si="2"/>
        <v>0</v>
      </c>
      <c r="AD42" s="21">
        <f t="shared" si="2"/>
        <v>0</v>
      </c>
      <c r="AE42" s="21">
        <f t="shared" si="2"/>
        <v>0</v>
      </c>
      <c r="AF42" s="21">
        <f t="shared" si="2"/>
        <v>0</v>
      </c>
      <c r="AG42" s="21">
        <f t="shared" si="2"/>
        <v>0</v>
      </c>
      <c r="AH42" s="21">
        <f t="shared" si="2"/>
        <v>9989483970</v>
      </c>
    </row>
    <row r="43" spans="1:36">
      <c r="A43" s="22"/>
      <c r="B43" s="11"/>
      <c r="C43" s="67"/>
      <c r="D43" s="67"/>
      <c r="E43" s="59"/>
      <c r="F43" s="12"/>
      <c r="G43" s="12"/>
      <c r="H43" s="12"/>
      <c r="I43" s="12"/>
      <c r="J43" s="67"/>
      <c r="K43" s="67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2"/>
      <c r="AD43" s="12"/>
      <c r="AE43" s="12"/>
      <c r="AF43" s="12"/>
      <c r="AG43" s="12"/>
      <c r="AH43" s="23"/>
      <c r="AI43" s="6"/>
    </row>
    <row r="44" spans="1:36">
      <c r="A44" s="24" t="s">
        <v>33</v>
      </c>
      <c r="B44" s="11"/>
      <c r="C44" s="67"/>
      <c r="D44" s="67"/>
      <c r="E44" s="59"/>
      <c r="F44" s="12"/>
      <c r="G44" s="12"/>
      <c r="H44" s="12"/>
      <c r="I44" s="12"/>
      <c r="J44" s="67"/>
      <c r="K44" s="67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67"/>
      <c r="AB44" s="67"/>
      <c r="AC44" s="12"/>
      <c r="AD44" s="12"/>
      <c r="AE44" s="12"/>
      <c r="AF44" s="12"/>
      <c r="AG44" s="12"/>
      <c r="AH44" s="23"/>
      <c r="AI44" s="6"/>
    </row>
    <row r="45" spans="1:36">
      <c r="A45" s="25" t="s">
        <v>34</v>
      </c>
      <c r="B45" s="26">
        <v>0</v>
      </c>
      <c r="C45" s="67">
        <f>346604658</f>
        <v>346604658</v>
      </c>
      <c r="D45" s="67"/>
      <c r="E45" s="60"/>
      <c r="F45" s="26"/>
      <c r="G45" s="26"/>
      <c r="H45" s="26"/>
      <c r="I45" s="26"/>
      <c r="J45" s="67"/>
      <c r="K45" s="67">
        <v>373710169</v>
      </c>
      <c r="L45" s="26"/>
      <c r="M45" s="67">
        <v>1025276360</v>
      </c>
      <c r="N45" s="67">
        <v>1597000260</v>
      </c>
      <c r="O45" s="26"/>
      <c r="P45" s="26"/>
      <c r="Q45" s="67">
        <v>3492868649</v>
      </c>
      <c r="R45" s="67">
        <v>1677441214</v>
      </c>
      <c r="S45" s="26"/>
      <c r="T45" s="26"/>
      <c r="U45" s="26"/>
      <c r="V45" s="26"/>
      <c r="W45" s="26"/>
      <c r="X45" s="67">
        <v>1618994520</v>
      </c>
      <c r="Y45" s="26"/>
      <c r="Z45" s="67"/>
      <c r="AA45" s="67"/>
      <c r="AB45" s="67"/>
      <c r="AC45" s="26"/>
      <c r="AD45" s="26"/>
      <c r="AE45" s="26"/>
      <c r="AF45" s="26"/>
      <c r="AG45" s="26"/>
      <c r="AH45" s="23">
        <f t="shared" ref="AH45:AH54" si="3">SUM(C45:AG45)</f>
        <v>10131895830</v>
      </c>
      <c r="AI45" s="17"/>
    </row>
    <row r="46" spans="1:36">
      <c r="A46" s="25"/>
      <c r="B46" s="26"/>
      <c r="C46" s="67">
        <v>332333848</v>
      </c>
      <c r="D46" s="67"/>
      <c r="E46" s="60"/>
      <c r="F46" s="26"/>
      <c r="G46" s="26"/>
      <c r="H46" s="26"/>
      <c r="I46" s="26"/>
      <c r="J46" s="67"/>
      <c r="K46" s="67"/>
      <c r="L46" s="67"/>
      <c r="M46" s="67"/>
      <c r="N46" s="67">
        <v>550497681</v>
      </c>
      <c r="O46" s="26"/>
      <c r="P46" s="26"/>
      <c r="Q46" s="67"/>
      <c r="R46" s="26"/>
      <c r="S46" s="26"/>
      <c r="T46" s="26"/>
      <c r="U46" s="26"/>
      <c r="V46" s="26"/>
      <c r="W46" s="26"/>
      <c r="X46" s="26"/>
      <c r="Y46" s="26"/>
      <c r="Z46" s="67"/>
      <c r="AA46" s="67"/>
      <c r="AB46" s="67"/>
      <c r="AC46" s="26"/>
      <c r="AD46" s="26"/>
      <c r="AE46" s="26"/>
      <c r="AF46" s="26"/>
      <c r="AG46" s="26"/>
      <c r="AH46" s="23"/>
      <c r="AI46" s="17"/>
    </row>
    <row r="47" spans="1:36">
      <c r="A47" s="25" t="s">
        <v>35</v>
      </c>
      <c r="B47" s="26">
        <v>0</v>
      </c>
      <c r="C47" s="13">
        <v>2030294874</v>
      </c>
      <c r="D47" s="13">
        <v>2407085821</v>
      </c>
      <c r="E47" s="60"/>
      <c r="F47" s="67">
        <v>2590090981</v>
      </c>
      <c r="G47" s="67">
        <v>2050559433</v>
      </c>
      <c r="H47" s="16"/>
      <c r="I47" s="26"/>
      <c r="J47" s="13">
        <v>2933408224</v>
      </c>
      <c r="K47" s="13">
        <v>1705222224</v>
      </c>
      <c r="L47" s="67">
        <v>1722891883</v>
      </c>
      <c r="M47" s="67"/>
      <c r="N47" s="67"/>
      <c r="O47" s="26"/>
      <c r="P47" s="26"/>
      <c r="Q47" s="68"/>
      <c r="R47" s="26"/>
      <c r="S47" s="67">
        <v>1270634897</v>
      </c>
      <c r="T47" s="67">
        <v>947235142</v>
      </c>
      <c r="U47" s="67">
        <v>1447441888</v>
      </c>
      <c r="V47" s="26"/>
      <c r="W47" s="26"/>
      <c r="X47" s="67">
        <v>1398843543</v>
      </c>
      <c r="Y47" s="67">
        <v>1565761879</v>
      </c>
      <c r="Z47" s="67">
        <v>1561582330</v>
      </c>
      <c r="AA47" s="67">
        <v>1234534812</v>
      </c>
      <c r="AB47" s="67">
        <v>1259148718</v>
      </c>
      <c r="AC47" s="26"/>
      <c r="AD47" s="42"/>
      <c r="AE47" s="26"/>
      <c r="AF47" s="26"/>
      <c r="AG47" s="26"/>
      <c r="AH47" s="23">
        <f t="shared" si="3"/>
        <v>26124736649</v>
      </c>
      <c r="AI47" s="17"/>
    </row>
    <row r="48" spans="1:36">
      <c r="A48" s="25" t="s">
        <v>36</v>
      </c>
      <c r="B48" s="26">
        <v>0</v>
      </c>
      <c r="C48" s="67"/>
      <c r="D48" s="68"/>
      <c r="E48" s="60"/>
      <c r="F48" s="67"/>
      <c r="G48" s="67"/>
      <c r="H48" s="26"/>
      <c r="I48" s="26"/>
      <c r="J48" s="67"/>
      <c r="K48" s="67"/>
      <c r="L48" s="67"/>
      <c r="M48" s="67"/>
      <c r="N48" s="67"/>
      <c r="O48" s="26"/>
      <c r="P48" s="26"/>
      <c r="Q48" s="67"/>
      <c r="R48" s="26"/>
      <c r="S48" s="67"/>
      <c r="T48" s="26"/>
      <c r="U48" s="67"/>
      <c r="V48" s="26"/>
      <c r="W48" s="26"/>
      <c r="X48" s="26"/>
      <c r="Y48" s="41"/>
      <c r="Z48" s="67"/>
      <c r="AA48" s="67"/>
      <c r="AB48" s="67"/>
      <c r="AC48" s="26"/>
      <c r="AD48" s="26"/>
      <c r="AE48" s="26"/>
      <c r="AF48" s="26"/>
      <c r="AG48" s="26"/>
      <c r="AH48" s="23">
        <f t="shared" si="3"/>
        <v>0</v>
      </c>
      <c r="AI48" s="17"/>
    </row>
    <row r="49" spans="1:35">
      <c r="A49" s="11" t="s">
        <v>53</v>
      </c>
      <c r="B49" s="26">
        <v>0</v>
      </c>
      <c r="C49" s="67">
        <v>1282814502</v>
      </c>
      <c r="D49" s="65">
        <v>659790957</v>
      </c>
      <c r="E49" s="75">
        <v>695623963</v>
      </c>
      <c r="F49" s="67">
        <v>843489586</v>
      </c>
      <c r="G49" s="67">
        <v>1006233131</v>
      </c>
      <c r="H49" s="26"/>
      <c r="I49" s="26"/>
      <c r="J49" s="67">
        <v>760093145</v>
      </c>
      <c r="K49" s="67">
        <v>409136056</v>
      </c>
      <c r="L49" s="67">
        <v>1019076982</v>
      </c>
      <c r="M49" s="67">
        <v>623471869</v>
      </c>
      <c r="N49" s="65">
        <v>2190343349</v>
      </c>
      <c r="O49" s="41"/>
      <c r="P49" s="42"/>
      <c r="Q49" s="67"/>
      <c r="R49" s="26"/>
      <c r="S49" s="67">
        <v>995516966</v>
      </c>
      <c r="T49" s="6">
        <v>598844790</v>
      </c>
      <c r="U49" s="67">
        <v>743253320</v>
      </c>
      <c r="V49" s="26"/>
      <c r="W49" s="26"/>
      <c r="X49" s="42">
        <v>903451564</v>
      </c>
      <c r="Y49" s="67">
        <v>597745301</v>
      </c>
      <c r="Z49" s="67">
        <v>560416622</v>
      </c>
      <c r="AA49" s="67">
        <v>587125509</v>
      </c>
      <c r="AB49" s="67">
        <v>907739516</v>
      </c>
      <c r="AC49" s="26"/>
      <c r="AD49" s="26"/>
      <c r="AE49" s="26"/>
      <c r="AF49" s="26"/>
      <c r="AG49" s="26"/>
      <c r="AH49" s="23">
        <f t="shared" si="3"/>
        <v>15384167128</v>
      </c>
      <c r="AI49" s="17"/>
    </row>
    <row r="50" spans="1:35">
      <c r="A50" s="11" t="s">
        <v>54</v>
      </c>
      <c r="B50" s="26"/>
      <c r="C50" s="67"/>
      <c r="D50" s="68"/>
      <c r="F50" s="67"/>
      <c r="G50" s="67"/>
      <c r="H50" s="26"/>
      <c r="I50" s="26"/>
      <c r="J50" s="67"/>
      <c r="K50" s="67"/>
      <c r="L50" s="67"/>
      <c r="M50" s="67"/>
      <c r="N50" s="67"/>
      <c r="O50" s="26"/>
      <c r="P50" s="42"/>
      <c r="Q50" s="67"/>
      <c r="R50" s="26"/>
      <c r="S50" s="67"/>
      <c r="T50" s="26"/>
      <c r="U50" s="67"/>
      <c r="V50" s="41"/>
      <c r="W50" s="41"/>
      <c r="X50" s="41"/>
      <c r="Y50" s="67"/>
      <c r="Z50" s="65"/>
      <c r="AA50" s="67"/>
      <c r="AB50" s="67">
        <v>502051964</v>
      </c>
      <c r="AC50" s="26"/>
      <c r="AD50" s="26"/>
      <c r="AE50" s="26"/>
      <c r="AF50" s="26"/>
      <c r="AG50" s="26"/>
      <c r="AH50" s="23"/>
      <c r="AI50" s="17"/>
    </row>
    <row r="51" spans="1:35">
      <c r="A51" s="11" t="s">
        <v>37</v>
      </c>
      <c r="B51" s="26">
        <v>0</v>
      </c>
      <c r="C51" s="65">
        <v>590269562</v>
      </c>
      <c r="D51" s="65">
        <v>546260533</v>
      </c>
      <c r="E51" s="76">
        <v>734053647</v>
      </c>
      <c r="F51" s="67">
        <v>583558652</v>
      </c>
      <c r="G51" s="72">
        <v>551492650</v>
      </c>
      <c r="H51" s="26"/>
      <c r="I51" s="26"/>
      <c r="J51" s="67">
        <v>686167109</v>
      </c>
      <c r="K51" s="67">
        <v>427575050</v>
      </c>
      <c r="L51" s="67">
        <v>314144974</v>
      </c>
      <c r="M51" s="67"/>
      <c r="N51" s="67">
        <v>229073894</v>
      </c>
      <c r="O51" s="26"/>
      <c r="P51" s="42"/>
      <c r="Q51" s="67"/>
      <c r="R51" s="67">
        <v>310419681</v>
      </c>
      <c r="S51" s="26"/>
      <c r="T51" s="67">
        <v>555399597</v>
      </c>
      <c r="U51" s="67">
        <v>636630035</v>
      </c>
      <c r="V51" s="26"/>
      <c r="W51" s="26"/>
      <c r="X51" s="42"/>
      <c r="Y51" s="65">
        <v>758943847</v>
      </c>
      <c r="Z51" s="67">
        <v>477413942</v>
      </c>
      <c r="AA51" s="67">
        <v>446551346</v>
      </c>
      <c r="AB51" s="65"/>
      <c r="AC51" s="26"/>
      <c r="AD51" s="26"/>
      <c r="AE51" s="26"/>
      <c r="AF51" s="26"/>
      <c r="AG51" s="26"/>
      <c r="AH51" s="23">
        <f>SUM(E51:AG51)</f>
        <v>6711424424</v>
      </c>
      <c r="AI51" s="17"/>
    </row>
    <row r="52" spans="1:35">
      <c r="A52" s="11" t="s">
        <v>38</v>
      </c>
      <c r="B52" s="26">
        <v>0</v>
      </c>
      <c r="C52" s="68"/>
      <c r="D52" s="68"/>
      <c r="E52" s="61"/>
      <c r="F52" s="67"/>
      <c r="G52" s="67">
        <v>741949355</v>
      </c>
      <c r="H52" s="26"/>
      <c r="I52" s="26"/>
      <c r="J52" s="67"/>
      <c r="K52" s="67"/>
      <c r="L52" s="67"/>
      <c r="M52" s="67"/>
      <c r="N52" s="78"/>
      <c r="O52" s="41"/>
      <c r="P52" s="54"/>
      <c r="Q52" s="78"/>
      <c r="R52" s="42"/>
      <c r="S52" s="26"/>
      <c r="U52" s="67"/>
      <c r="V52" s="41"/>
      <c r="W52" s="42"/>
      <c r="X52" s="41"/>
      <c r="Y52" s="78"/>
      <c r="Z52" s="78"/>
      <c r="AA52" s="67"/>
      <c r="AB52" s="65"/>
      <c r="AC52" s="26"/>
      <c r="AD52" s="26"/>
      <c r="AE52" s="26"/>
      <c r="AF52" s="26"/>
      <c r="AG52" s="26"/>
      <c r="AH52" s="23">
        <f t="shared" si="3"/>
        <v>741949355</v>
      </c>
      <c r="AI52" s="17"/>
    </row>
    <row r="53" spans="1:35">
      <c r="A53" s="11" t="s">
        <v>39</v>
      </c>
      <c r="B53" s="26">
        <v>0</v>
      </c>
      <c r="C53" s="69">
        <v>379643798</v>
      </c>
      <c r="D53" s="65">
        <v>741727950</v>
      </c>
      <c r="E53" s="6">
        <v>713542582</v>
      </c>
      <c r="F53" s="67">
        <v>1052992620</v>
      </c>
      <c r="G53" s="67">
        <v>731994431</v>
      </c>
      <c r="H53" s="26"/>
      <c r="I53" s="26"/>
      <c r="J53" s="67">
        <v>717656777</v>
      </c>
      <c r="K53" s="67">
        <v>1105017166</v>
      </c>
      <c r="L53" s="67">
        <v>328956087</v>
      </c>
      <c r="M53" s="67">
        <v>598743788</v>
      </c>
      <c r="N53" s="67">
        <v>908538143</v>
      </c>
      <c r="O53" s="41"/>
      <c r="P53" s="54"/>
      <c r="Q53" s="67">
        <v>723874130</v>
      </c>
      <c r="R53" s="67">
        <v>370597964</v>
      </c>
      <c r="S53" s="26"/>
      <c r="T53" s="67">
        <v>930779888</v>
      </c>
      <c r="U53" s="67"/>
      <c r="V53" s="26"/>
      <c r="W53" s="26"/>
      <c r="X53" s="42"/>
      <c r="Y53" s="65"/>
      <c r="Z53" s="67">
        <v>922465801</v>
      </c>
      <c r="AA53" s="67">
        <v>720417713</v>
      </c>
      <c r="AB53" s="72">
        <v>752035624</v>
      </c>
      <c r="AC53" s="26"/>
      <c r="AD53" s="26"/>
      <c r="AE53" s="26"/>
      <c r="AF53" s="26"/>
      <c r="AG53" s="26"/>
      <c r="AH53" s="23">
        <f>SUM(C53:AG53)</f>
        <v>11698984462</v>
      </c>
      <c r="AI53" s="17"/>
    </row>
    <row r="54" spans="1:35">
      <c r="A54" s="11" t="s">
        <v>40</v>
      </c>
      <c r="B54" s="26">
        <v>0</v>
      </c>
      <c r="C54" s="68"/>
      <c r="D54" s="68"/>
      <c r="E54" s="26"/>
      <c r="F54" s="67">
        <v>690752610</v>
      </c>
      <c r="G54" s="67">
        <v>993885341</v>
      </c>
      <c r="H54" s="26"/>
      <c r="I54" s="26"/>
      <c r="J54" s="67"/>
      <c r="K54" s="67"/>
      <c r="L54" s="26"/>
      <c r="M54" s="26"/>
      <c r="N54" s="26"/>
      <c r="O54" s="26"/>
      <c r="P54" s="54"/>
      <c r="Q54" s="67"/>
      <c r="R54" s="26"/>
      <c r="S54" s="26"/>
      <c r="T54" s="26"/>
      <c r="U54" s="67"/>
      <c r="V54" s="41"/>
      <c r="W54" s="41"/>
      <c r="X54" s="41"/>
      <c r="Y54" s="41"/>
      <c r="Z54" s="78"/>
      <c r="AA54" s="67"/>
      <c r="AB54" s="65">
        <v>366198759</v>
      </c>
      <c r="AC54" s="26"/>
      <c r="AD54" s="26"/>
      <c r="AE54" s="26"/>
      <c r="AF54" s="26"/>
      <c r="AG54" s="26"/>
      <c r="AH54" s="23">
        <f t="shared" si="3"/>
        <v>2050836710</v>
      </c>
      <c r="AI54" s="17"/>
    </row>
    <row r="55" spans="1:35">
      <c r="A55" s="27" t="s">
        <v>41</v>
      </c>
      <c r="B55" s="28"/>
      <c r="C55" s="70">
        <f t="shared" ref="C55:AH55" si="4">SUM(C45:C54)</f>
        <v>4961961242</v>
      </c>
      <c r="D55" s="70">
        <f t="shared" si="4"/>
        <v>4354865261</v>
      </c>
      <c r="E55" s="29">
        <f t="shared" si="4"/>
        <v>2143220192</v>
      </c>
      <c r="F55" s="29">
        <f t="shared" si="4"/>
        <v>5760884449</v>
      </c>
      <c r="G55" s="29">
        <f t="shared" si="4"/>
        <v>6076114341</v>
      </c>
      <c r="H55" s="29">
        <f t="shared" si="4"/>
        <v>0</v>
      </c>
      <c r="I55" s="29">
        <f t="shared" si="4"/>
        <v>0</v>
      </c>
      <c r="J55" s="70">
        <f t="shared" si="4"/>
        <v>5097325255</v>
      </c>
      <c r="K55" s="70">
        <f t="shared" si="4"/>
        <v>4020660665</v>
      </c>
      <c r="L55" s="29">
        <f t="shared" si="4"/>
        <v>3385069926</v>
      </c>
      <c r="M55" s="29">
        <f t="shared" si="4"/>
        <v>2247492017</v>
      </c>
      <c r="N55" s="29">
        <f t="shared" si="4"/>
        <v>5475453327</v>
      </c>
      <c r="O55" s="29">
        <f t="shared" si="4"/>
        <v>0</v>
      </c>
      <c r="P55" s="29">
        <f t="shared" si="4"/>
        <v>0</v>
      </c>
      <c r="Q55" s="29">
        <f t="shared" si="4"/>
        <v>4216742779</v>
      </c>
      <c r="R55" s="29">
        <f t="shared" si="4"/>
        <v>2358458859</v>
      </c>
      <c r="S55" s="29">
        <f t="shared" si="4"/>
        <v>2266151863</v>
      </c>
      <c r="T55" s="29">
        <f t="shared" si="4"/>
        <v>3032259417</v>
      </c>
      <c r="U55" s="29">
        <f t="shared" si="4"/>
        <v>2827325243</v>
      </c>
      <c r="V55" s="29">
        <f t="shared" si="4"/>
        <v>0</v>
      </c>
      <c r="W55" s="29">
        <f t="shared" si="4"/>
        <v>0</v>
      </c>
      <c r="X55" s="29">
        <f t="shared" si="4"/>
        <v>3921289627</v>
      </c>
      <c r="Y55" s="29">
        <f t="shared" si="4"/>
        <v>2922451027</v>
      </c>
      <c r="Z55" s="29">
        <f t="shared" si="4"/>
        <v>3521878695</v>
      </c>
      <c r="AA55" s="29">
        <f t="shared" si="4"/>
        <v>2988629380</v>
      </c>
      <c r="AB55" s="29">
        <f t="shared" si="4"/>
        <v>3787174581</v>
      </c>
      <c r="AC55" s="29">
        <f t="shared" si="4"/>
        <v>0</v>
      </c>
      <c r="AD55" s="29">
        <f t="shared" si="4"/>
        <v>0</v>
      </c>
      <c r="AE55" s="29">
        <f t="shared" si="4"/>
        <v>0</v>
      </c>
      <c r="AF55" s="29">
        <f t="shared" si="4"/>
        <v>0</v>
      </c>
      <c r="AG55" s="29">
        <f t="shared" si="4"/>
        <v>0</v>
      </c>
      <c r="AH55" s="30">
        <f t="shared" si="4"/>
        <v>72843994558</v>
      </c>
      <c r="AI55" s="6"/>
    </row>
    <row r="56" spans="1:35">
      <c r="A56" s="387" t="s">
        <v>42</v>
      </c>
      <c r="B56" s="388"/>
      <c r="C56" s="71">
        <f t="shared" ref="C56:AG56" si="5">C42+C55</f>
        <v>6182544449</v>
      </c>
      <c r="D56" s="71">
        <f t="shared" si="5"/>
        <v>4354865261</v>
      </c>
      <c r="E56" s="31">
        <f t="shared" si="5"/>
        <v>2143220192</v>
      </c>
      <c r="F56" s="31">
        <f t="shared" si="5"/>
        <v>5760884449</v>
      </c>
      <c r="G56" s="31">
        <f t="shared" si="5"/>
        <v>6653478311</v>
      </c>
      <c r="H56" s="31">
        <f t="shared" si="5"/>
        <v>0</v>
      </c>
      <c r="I56" s="31">
        <f t="shared" si="5"/>
        <v>0</v>
      </c>
      <c r="J56" s="71">
        <f t="shared" si="5"/>
        <v>5800012444</v>
      </c>
      <c r="K56" s="71">
        <f t="shared" si="5"/>
        <v>4235671797</v>
      </c>
      <c r="L56" s="31">
        <f t="shared" si="5"/>
        <v>4173887780</v>
      </c>
      <c r="M56" s="31">
        <f t="shared" si="5"/>
        <v>2336521705</v>
      </c>
      <c r="N56" s="31">
        <f t="shared" si="5"/>
        <v>5475453327</v>
      </c>
      <c r="O56" s="31">
        <f t="shared" si="5"/>
        <v>0</v>
      </c>
      <c r="P56" s="31">
        <f t="shared" si="5"/>
        <v>0</v>
      </c>
      <c r="Q56" s="31">
        <f t="shared" si="5"/>
        <v>5696054428</v>
      </c>
      <c r="R56" s="31">
        <f t="shared" si="5"/>
        <v>2431429528</v>
      </c>
      <c r="S56" s="31">
        <f t="shared" si="5"/>
        <v>3918626267</v>
      </c>
      <c r="T56" s="31">
        <f t="shared" si="5"/>
        <v>3038450651</v>
      </c>
      <c r="U56" s="31">
        <f t="shared" si="5"/>
        <v>2836908709</v>
      </c>
      <c r="V56" s="31">
        <f t="shared" si="5"/>
        <v>0</v>
      </c>
      <c r="W56" s="31">
        <f t="shared" si="5"/>
        <v>0</v>
      </c>
      <c r="X56" s="31">
        <f t="shared" si="5"/>
        <v>6667802939</v>
      </c>
      <c r="Y56" s="31">
        <f t="shared" si="5"/>
        <v>3006412138</v>
      </c>
      <c r="Z56" s="31">
        <f t="shared" si="5"/>
        <v>3521878695</v>
      </c>
      <c r="AA56" s="31">
        <f t="shared" si="5"/>
        <v>3068840500</v>
      </c>
      <c r="AB56" s="31">
        <f t="shared" si="5"/>
        <v>4750983278</v>
      </c>
      <c r="AC56" s="31">
        <f t="shared" si="5"/>
        <v>0</v>
      </c>
      <c r="AD56" s="31">
        <f t="shared" si="5"/>
        <v>0</v>
      </c>
      <c r="AE56" s="31">
        <f t="shared" si="5"/>
        <v>0</v>
      </c>
      <c r="AF56" s="31">
        <f t="shared" si="5"/>
        <v>0</v>
      </c>
      <c r="AG56" s="31">
        <f t="shared" si="5"/>
        <v>0</v>
      </c>
      <c r="AH56" s="31">
        <f>SUM(C56:AG56)</f>
        <v>86053926848</v>
      </c>
    </row>
    <row r="58" spans="1:35">
      <c r="B58" s="3" t="s">
        <v>50</v>
      </c>
      <c r="C58" s="72">
        <v>13005044052</v>
      </c>
      <c r="D58" s="72">
        <v>8161031694</v>
      </c>
      <c r="E58" s="6">
        <v>11926190481</v>
      </c>
      <c r="F58" s="6">
        <v>14784376630</v>
      </c>
      <c r="G58" s="6"/>
      <c r="H58" s="6"/>
      <c r="I58" s="6">
        <v>5936759301</v>
      </c>
      <c r="J58" s="72">
        <v>6377249084</v>
      </c>
      <c r="K58" s="72">
        <v>11759506524</v>
      </c>
      <c r="L58" s="6">
        <v>5616625685</v>
      </c>
      <c r="M58" s="6"/>
      <c r="N58" s="6">
        <v>10467264795</v>
      </c>
      <c r="O58" s="6"/>
      <c r="P58" s="6"/>
      <c r="Q58" s="6">
        <v>9679350421</v>
      </c>
      <c r="R58" s="6"/>
      <c r="S58" s="6">
        <v>6140423063</v>
      </c>
      <c r="T58" s="6">
        <v>8794540137</v>
      </c>
      <c r="U58" s="6">
        <v>8239943610</v>
      </c>
      <c r="V58" s="6"/>
      <c r="W58" s="6"/>
      <c r="X58" s="6">
        <v>9011416240</v>
      </c>
      <c r="Y58" s="6">
        <v>8028393543</v>
      </c>
      <c r="Z58" s="6">
        <v>8442651865</v>
      </c>
      <c r="AA58" s="6">
        <v>8026500817</v>
      </c>
      <c r="AB58" s="6">
        <v>7755939050</v>
      </c>
      <c r="AD58" s="6"/>
      <c r="AF58" s="6"/>
    </row>
    <row r="59" spans="1:35">
      <c r="B59" s="3" t="s">
        <v>64</v>
      </c>
      <c r="C59" s="72"/>
      <c r="D59" s="74"/>
      <c r="E59" s="43"/>
      <c r="F59" s="43"/>
      <c r="G59" s="43"/>
      <c r="H59" s="43"/>
      <c r="I59" s="43">
        <f>I58-I56</f>
        <v>5936759301</v>
      </c>
      <c r="J59" s="80"/>
      <c r="K59" s="80"/>
      <c r="M59" s="43"/>
      <c r="N59" s="40"/>
      <c r="O59" s="40"/>
      <c r="P59" s="40"/>
      <c r="Q59" s="40"/>
      <c r="R59" s="43"/>
      <c r="S59" s="6"/>
      <c r="T59" s="6"/>
      <c r="U59" s="40"/>
      <c r="V59" s="40"/>
      <c r="W59" s="43"/>
      <c r="X59" s="40"/>
      <c r="Y59" s="40"/>
      <c r="Z59" s="6"/>
      <c r="AA59" s="6"/>
      <c r="AB59" s="40"/>
      <c r="AD59" s="40"/>
      <c r="AF59" s="6"/>
    </row>
    <row r="60" spans="1:35">
      <c r="C60" s="72"/>
      <c r="R60" s="6"/>
      <c r="T60" s="6"/>
      <c r="AA60" s="6"/>
      <c r="AF60" s="6"/>
    </row>
    <row r="62" spans="1:35">
      <c r="D62" s="64" t="s">
        <v>104</v>
      </c>
    </row>
    <row r="63" spans="1:35">
      <c r="D63" s="64" t="s">
        <v>105</v>
      </c>
      <c r="J63" s="81">
        <f>81182640-13529276</f>
        <v>67653364</v>
      </c>
      <c r="K63" s="67">
        <v>778393887</v>
      </c>
    </row>
    <row r="64" spans="1:35">
      <c r="D64" s="64" t="s">
        <v>106</v>
      </c>
      <c r="J64" s="67">
        <v>733024299</v>
      </c>
    </row>
    <row r="65" spans="10:25" s="3" customFormat="1">
      <c r="J65" s="67">
        <f>209920265+175706258+180266991+212500373</f>
        <v>778393887</v>
      </c>
      <c r="K65" s="64"/>
    </row>
    <row r="67" spans="10:25" s="3" customFormat="1" ht="15">
      <c r="J67" s="64"/>
      <c r="K67" s="64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/>
      <c r="X67"/>
      <c r="Y67"/>
    </row>
    <row r="68" spans="10:25" s="3" customFormat="1" ht="15">
      <c r="J68" s="64"/>
      <c r="K68" s="64"/>
      <c r="M68" s="45" t="s">
        <v>92</v>
      </c>
      <c r="N68" s="45"/>
      <c r="O68" s="45"/>
      <c r="P68" s="45"/>
      <c r="Q68" s="45"/>
      <c r="R68" s="45"/>
      <c r="S68" s="45"/>
      <c r="T68" s="45"/>
      <c r="U68" s="45"/>
      <c r="V68" s="45"/>
      <c r="W68"/>
      <c r="X68"/>
      <c r="Y68"/>
    </row>
    <row r="69" spans="10:25" s="3" customFormat="1" ht="15">
      <c r="J69" s="64"/>
      <c r="K69" s="64"/>
      <c r="M69" s="45" t="s">
        <v>93</v>
      </c>
      <c r="N69" s="45" t="s">
        <v>102</v>
      </c>
      <c r="O69" s="45"/>
      <c r="P69" s="45"/>
      <c r="Q69" s="45"/>
      <c r="R69" s="45"/>
      <c r="S69" s="45"/>
      <c r="T69" s="45"/>
      <c r="U69" s="45"/>
      <c r="V69" s="45"/>
      <c r="W69"/>
      <c r="X69"/>
      <c r="Y69"/>
    </row>
    <row r="70" spans="10:25" s="3" customFormat="1" ht="15">
      <c r="J70" s="64"/>
      <c r="K70" s="64"/>
      <c r="M70" s="45" t="s">
        <v>94</v>
      </c>
      <c r="N70" s="45"/>
      <c r="O70" s="45"/>
      <c r="P70" s="45"/>
      <c r="Q70" s="45"/>
      <c r="R70" s="45"/>
      <c r="S70" s="45"/>
      <c r="T70" s="45"/>
      <c r="U70" s="45"/>
      <c r="V70" s="45"/>
      <c r="W70"/>
      <c r="X70"/>
      <c r="Y70"/>
    </row>
    <row r="71" spans="10:25" s="3" customFormat="1" ht="15">
      <c r="J71" s="64"/>
      <c r="K71" s="64"/>
      <c r="M71" s="45"/>
      <c r="N71" s="45"/>
      <c r="O71" s="45"/>
      <c r="P71" s="45"/>
      <c r="Q71" s="45"/>
      <c r="R71" s="45"/>
      <c r="S71" s="45"/>
      <c r="T71" s="45"/>
      <c r="U71" s="45"/>
      <c r="V71" s="45" t="s">
        <v>95</v>
      </c>
      <c r="W71"/>
      <c r="X71"/>
      <c r="Y71"/>
    </row>
    <row r="72" spans="10:25" s="3" customFormat="1" ht="15">
      <c r="J72" s="64"/>
      <c r="K72" s="64"/>
      <c r="M72" s="45"/>
      <c r="N72" s="45"/>
      <c r="O72" s="45"/>
      <c r="P72" s="45"/>
      <c r="Q72" s="45"/>
      <c r="R72" s="45"/>
      <c r="S72" s="45"/>
      <c r="T72" s="45"/>
      <c r="U72" s="45"/>
      <c r="V72" s="45" t="s">
        <v>96</v>
      </c>
      <c r="W72"/>
      <c r="X72">
        <v>2</v>
      </c>
      <c r="Y72"/>
    </row>
    <row r="73" spans="10:25" s="3" customFormat="1" ht="15">
      <c r="J73" s="64"/>
      <c r="K73" s="64"/>
      <c r="M73" s="45" t="s">
        <v>97</v>
      </c>
      <c r="N73" s="45"/>
      <c r="O73" s="45"/>
      <c r="P73" s="45"/>
      <c r="Q73" s="45"/>
      <c r="R73" s="45"/>
      <c r="S73" s="45"/>
      <c r="T73" s="45"/>
      <c r="U73" s="45"/>
      <c r="V73" s="45" t="s">
        <v>98</v>
      </c>
      <c r="W73"/>
      <c r="X73">
        <v>2</v>
      </c>
      <c r="Y73"/>
    </row>
    <row r="74" spans="10:25" s="3" customFormat="1" ht="15">
      <c r="J74" s="64"/>
      <c r="K74" s="64"/>
      <c r="M74" s="45"/>
      <c r="N74" s="45"/>
      <c r="O74" s="45"/>
      <c r="P74" s="45"/>
      <c r="Q74" s="45"/>
      <c r="R74" s="45"/>
      <c r="S74" s="45"/>
      <c r="T74" s="45"/>
      <c r="U74" s="45"/>
      <c r="V74" s="45" t="s">
        <v>99</v>
      </c>
      <c r="W74"/>
      <c r="X74">
        <v>10</v>
      </c>
      <c r="Y74"/>
    </row>
    <row r="75" spans="10:25" s="3" customFormat="1" ht="15">
      <c r="J75" s="64"/>
      <c r="K75" s="64"/>
      <c r="M75"/>
      <c r="N75"/>
      <c r="O75" s="46"/>
      <c r="P75" s="46"/>
      <c r="Q75" s="46"/>
      <c r="R75" s="46"/>
      <c r="S75" s="46"/>
      <c r="T75" s="46"/>
      <c r="U75" s="46"/>
      <c r="V75" s="47" t="s">
        <v>100</v>
      </c>
      <c r="W75" s="46" t="s">
        <v>101</v>
      </c>
      <c r="X75"/>
      <c r="Y75"/>
    </row>
    <row r="76" spans="10:25" s="3" customFormat="1" ht="15">
      <c r="J76" s="64"/>
      <c r="K76" s="64"/>
      <c r="M76"/>
      <c r="N76"/>
      <c r="O76" s="46"/>
      <c r="P76" s="46"/>
      <c r="Q76" s="46"/>
      <c r="R76" s="46"/>
      <c r="S76" s="46"/>
      <c r="T76" s="46"/>
      <c r="U76" s="46"/>
      <c r="V76" s="47"/>
      <c r="W76" s="46"/>
      <c r="X76"/>
      <c r="Y76"/>
    </row>
    <row r="77" spans="10:25" s="3" customFormat="1" ht="15">
      <c r="J77" s="64"/>
      <c r="K77" s="64"/>
      <c r="M77"/>
      <c r="N77"/>
      <c r="O77" s="46"/>
      <c r="P77" s="46"/>
      <c r="Q77" s="46"/>
      <c r="R77" s="46"/>
      <c r="S77" s="46"/>
      <c r="T77" s="46"/>
      <c r="U77" s="46"/>
      <c r="V77" s="46"/>
      <c r="W77" s="46"/>
      <c r="X77"/>
      <c r="Y77"/>
    </row>
  </sheetData>
  <mergeCells count="2">
    <mergeCell ref="C4:AG4"/>
    <mergeCell ref="A56:B56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79"/>
  <sheetViews>
    <sheetView topLeftCell="A13" zoomScale="80" zoomScaleNormal="80" workbookViewId="0">
      <pane xSplit="1" topLeftCell="B1" activePane="topRight" state="frozen"/>
      <selection activeCell="A25" sqref="A25"/>
      <selection pane="topRight" activeCell="A33" sqref="A33:XFD33"/>
    </sheetView>
  </sheetViews>
  <sheetFormatPr defaultRowHeight="12.75"/>
  <cols>
    <col min="1" max="1" width="32.5703125" style="3" customWidth="1"/>
    <col min="2" max="2" width="12.85546875" style="3" customWidth="1"/>
    <col min="3" max="3" width="18" style="64" customWidth="1"/>
    <col min="4" max="4" width="16.140625" style="64" customWidth="1"/>
    <col min="5" max="5" width="16.140625" style="3" customWidth="1"/>
    <col min="6" max="6" width="17.140625" style="3" customWidth="1"/>
    <col min="7" max="7" width="17.5703125" style="3" customWidth="1"/>
    <col min="8" max="8" width="17" style="3" customWidth="1"/>
    <col min="9" max="9" width="17.42578125" style="3" customWidth="1"/>
    <col min="10" max="10" width="17.5703125" style="64" customWidth="1"/>
    <col min="11" max="11" width="17.140625" style="64" customWidth="1"/>
    <col min="12" max="12" width="16.5703125" style="3" customWidth="1"/>
    <col min="13" max="14" width="17.5703125" style="3" customWidth="1"/>
    <col min="15" max="15" width="18.28515625" style="3" customWidth="1"/>
    <col min="16" max="16" width="16" style="3" customWidth="1"/>
    <col min="17" max="17" width="18.7109375" style="3" customWidth="1"/>
    <col min="18" max="18" width="17.28515625" style="3" customWidth="1"/>
    <col min="19" max="19" width="17.140625" style="3" customWidth="1"/>
    <col min="20" max="20" width="18.28515625" style="3" customWidth="1"/>
    <col min="21" max="22" width="15.28515625" style="3" customWidth="1"/>
    <col min="23" max="23" width="16.5703125" style="3" customWidth="1"/>
    <col min="24" max="24" width="17" style="3" customWidth="1"/>
    <col min="25" max="25" width="16" style="3" customWidth="1"/>
    <col min="26" max="26" width="15.28515625" style="3" customWidth="1"/>
    <col min="27" max="27" width="17" style="3" customWidth="1"/>
    <col min="28" max="28" width="15.5703125" style="3" customWidth="1"/>
    <col min="29" max="29" width="16.140625" style="3" customWidth="1"/>
    <col min="30" max="30" width="15.85546875" style="3" customWidth="1"/>
    <col min="31" max="31" width="14" style="3" customWidth="1"/>
    <col min="32" max="32" width="14.85546875" style="3" customWidth="1"/>
    <col min="33" max="33" width="12.5703125" style="3" customWidth="1"/>
    <col min="34" max="34" width="17.42578125" style="3" customWidth="1"/>
    <col min="35" max="35" width="13" style="3" customWidth="1"/>
    <col min="36" max="36" width="12.85546875" style="3" customWidth="1"/>
    <col min="37" max="37" width="11.28515625" style="3" bestFit="1" customWidth="1"/>
    <col min="38" max="16384" width="9.140625" style="3"/>
  </cols>
  <sheetData>
    <row r="1" spans="1:35">
      <c r="A1" s="1" t="s">
        <v>0</v>
      </c>
      <c r="B1" s="2"/>
      <c r="C1" s="62"/>
      <c r="D1" s="62"/>
      <c r="E1" s="2"/>
      <c r="F1" s="2"/>
      <c r="G1" s="2"/>
      <c r="H1" s="2"/>
      <c r="I1" s="2"/>
      <c r="J1" s="62"/>
      <c r="K1" s="6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s="6" customFormat="1">
      <c r="A2" s="4" t="s">
        <v>1</v>
      </c>
      <c r="B2" s="5"/>
      <c r="C2" s="63"/>
      <c r="D2" s="63"/>
      <c r="E2" s="5"/>
      <c r="F2" s="5"/>
      <c r="G2" s="5"/>
      <c r="H2" s="5"/>
      <c r="I2" s="5"/>
      <c r="J2" s="63"/>
      <c r="K2" s="63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>
      <c r="A3" s="7" t="s">
        <v>2</v>
      </c>
      <c r="B3" s="8">
        <v>44228</v>
      </c>
      <c r="C3" s="63"/>
      <c r="D3" s="63"/>
      <c r="E3" s="5"/>
      <c r="F3" s="5"/>
      <c r="G3" s="5"/>
      <c r="H3" s="5"/>
      <c r="I3" s="5"/>
      <c r="J3" s="63"/>
      <c r="K3" s="63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>
      <c r="A4" s="34" t="s">
        <v>3</v>
      </c>
      <c r="B4" s="35" t="s">
        <v>4</v>
      </c>
      <c r="C4" s="384" t="s">
        <v>5</v>
      </c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6"/>
      <c r="AH4" s="36" t="s">
        <v>6</v>
      </c>
      <c r="AI4" s="6"/>
    </row>
    <row r="5" spans="1:35">
      <c r="A5" s="34"/>
      <c r="B5" s="35"/>
      <c r="C5" s="37">
        <v>32</v>
      </c>
      <c r="D5" s="37">
        <v>33</v>
      </c>
      <c r="E5" s="37">
        <v>34</v>
      </c>
      <c r="F5" s="37">
        <v>35</v>
      </c>
      <c r="G5" s="37">
        <v>36</v>
      </c>
      <c r="H5" s="37">
        <v>37</v>
      </c>
      <c r="I5" s="37">
        <v>38</v>
      </c>
      <c r="J5" s="37">
        <v>39</v>
      </c>
      <c r="K5" s="37">
        <v>40</v>
      </c>
      <c r="L5" s="37">
        <v>41</v>
      </c>
      <c r="M5" s="37">
        <v>42</v>
      </c>
      <c r="N5" s="37">
        <v>43</v>
      </c>
      <c r="O5" s="37">
        <v>44</v>
      </c>
      <c r="P5" s="37">
        <v>45</v>
      </c>
      <c r="Q5" s="37">
        <v>46</v>
      </c>
      <c r="R5" s="37">
        <v>47</v>
      </c>
      <c r="S5" s="37">
        <v>48</v>
      </c>
      <c r="T5" s="37">
        <v>49</v>
      </c>
      <c r="U5" s="37">
        <v>50</v>
      </c>
      <c r="V5" s="37">
        <v>51</v>
      </c>
      <c r="W5" s="37">
        <v>52</v>
      </c>
      <c r="X5" s="37">
        <v>53</v>
      </c>
      <c r="Y5" s="37">
        <v>54</v>
      </c>
      <c r="Z5" s="37">
        <v>55</v>
      </c>
      <c r="AA5" s="37">
        <v>56</v>
      </c>
      <c r="AB5" s="37">
        <v>57</v>
      </c>
      <c r="AC5" s="37">
        <v>58</v>
      </c>
      <c r="AD5" s="37">
        <v>59</v>
      </c>
      <c r="AE5" s="37">
        <v>60</v>
      </c>
      <c r="AF5" s="37">
        <v>61</v>
      </c>
      <c r="AG5" s="37">
        <v>62</v>
      </c>
      <c r="AH5" s="36"/>
      <c r="AI5" s="6"/>
    </row>
    <row r="6" spans="1:35">
      <c r="A6" s="10" t="s">
        <v>7</v>
      </c>
      <c r="B6" s="11"/>
      <c r="C6" s="13"/>
      <c r="D6" s="13"/>
      <c r="E6" s="14"/>
      <c r="F6" s="14"/>
      <c r="G6" s="14"/>
      <c r="H6" s="14"/>
      <c r="I6" s="14"/>
      <c r="J6" s="13"/>
      <c r="K6" s="13"/>
      <c r="L6" s="14"/>
      <c r="M6" s="14"/>
      <c r="N6" s="14"/>
      <c r="O6" s="13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2"/>
      <c r="AI6" s="6"/>
    </row>
    <row r="7" spans="1:35">
      <c r="A7" s="15" t="s">
        <v>48</v>
      </c>
      <c r="B7" s="11"/>
      <c r="C7" s="13"/>
      <c r="D7" s="73"/>
      <c r="E7" s="48"/>
      <c r="F7" s="48"/>
      <c r="G7" s="48"/>
      <c r="H7" s="49"/>
      <c r="I7" s="48"/>
      <c r="J7" s="73"/>
      <c r="K7" s="73"/>
      <c r="L7" s="48"/>
      <c r="M7" s="48"/>
      <c r="N7" s="87"/>
      <c r="O7" s="50"/>
      <c r="P7" s="48"/>
      <c r="Q7" s="48"/>
      <c r="R7" s="48"/>
      <c r="S7" s="49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14">
        <f t="shared" ref="AH7:AH38" si="0">SUM(C7:AG7)</f>
        <v>0</v>
      </c>
      <c r="AI7" s="17"/>
    </row>
    <row r="8" spans="1:35">
      <c r="A8" s="15" t="s">
        <v>49</v>
      </c>
      <c r="B8" s="11"/>
      <c r="C8" s="13"/>
      <c r="D8" s="73"/>
      <c r="E8" s="48"/>
      <c r="F8" s="48"/>
      <c r="G8" s="48"/>
      <c r="H8" s="48"/>
      <c r="I8" s="48"/>
      <c r="J8" s="73"/>
      <c r="K8" s="73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14">
        <f t="shared" si="0"/>
        <v>0</v>
      </c>
      <c r="AI8" s="17"/>
    </row>
    <row r="9" spans="1:35">
      <c r="A9" s="15" t="s">
        <v>8</v>
      </c>
      <c r="B9" s="11"/>
      <c r="C9" s="89"/>
      <c r="D9" s="73"/>
      <c r="E9" s="48"/>
      <c r="F9" s="73">
        <v>145989767</v>
      </c>
      <c r="G9" s="48"/>
      <c r="H9" s="48"/>
      <c r="I9" s="48"/>
      <c r="J9" s="84"/>
      <c r="K9" s="73"/>
      <c r="L9" s="48"/>
      <c r="M9" s="48"/>
      <c r="N9" s="50"/>
      <c r="O9" s="48"/>
      <c r="P9" s="48"/>
      <c r="Q9" s="48"/>
      <c r="R9" s="73">
        <f>159264271-27350467</f>
        <v>131913804</v>
      </c>
      <c r="S9" s="48"/>
      <c r="T9" s="48"/>
      <c r="U9" s="73">
        <v>167709547</v>
      </c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14">
        <f t="shared" si="0"/>
        <v>445613118</v>
      </c>
      <c r="AI9" s="17"/>
    </row>
    <row r="10" spans="1:35">
      <c r="A10" s="15" t="s">
        <v>9</v>
      </c>
      <c r="B10" s="11"/>
      <c r="C10" s="89"/>
      <c r="D10" s="73"/>
      <c r="E10" s="48"/>
      <c r="F10" s="48"/>
      <c r="G10" s="48"/>
      <c r="H10" s="48"/>
      <c r="I10" s="48"/>
      <c r="J10" s="84"/>
      <c r="K10" s="73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14">
        <f>SUM(C10:AG10)</f>
        <v>0</v>
      </c>
      <c r="AI10" s="17"/>
    </row>
    <row r="11" spans="1:35">
      <c r="A11" s="15" t="s">
        <v>10</v>
      </c>
      <c r="B11" s="11"/>
      <c r="D11" s="78"/>
      <c r="E11" s="48"/>
      <c r="F11" s="41"/>
      <c r="G11" s="41"/>
      <c r="H11" s="48"/>
      <c r="I11" s="48"/>
      <c r="K11" s="78"/>
      <c r="M11" s="73">
        <v>87880000</v>
      </c>
      <c r="N11" s="49"/>
      <c r="O11" s="50"/>
      <c r="P11" s="48"/>
      <c r="Q11" s="48"/>
      <c r="R11" s="48"/>
      <c r="S11" s="48"/>
      <c r="U11" s="48"/>
      <c r="V11" s="48"/>
      <c r="W11" s="48"/>
      <c r="X11" s="48"/>
      <c r="Y11" s="48"/>
      <c r="Z11" s="48"/>
      <c r="AA11" s="48"/>
      <c r="AC11" s="48"/>
      <c r="AD11" s="48"/>
      <c r="AE11" s="48"/>
      <c r="AF11" s="48"/>
      <c r="AG11" s="48"/>
      <c r="AH11" s="14">
        <f>SUM(E11:AG11)</f>
        <v>87880000</v>
      </c>
      <c r="AI11" s="17"/>
    </row>
    <row r="12" spans="1:35">
      <c r="A12" s="15" t="s">
        <v>11</v>
      </c>
      <c r="B12" s="11"/>
      <c r="C12" s="89"/>
      <c r="D12" s="73"/>
      <c r="E12" s="48"/>
      <c r="F12" s="48"/>
      <c r="G12" s="48"/>
      <c r="H12" s="48"/>
      <c r="I12" s="48"/>
      <c r="J12" s="84"/>
      <c r="K12" s="73"/>
      <c r="L12" s="48"/>
      <c r="M12" s="48"/>
      <c r="N12" s="48"/>
      <c r="O12" s="48"/>
      <c r="P12" s="48"/>
      <c r="Q12" s="48"/>
      <c r="R12" s="48"/>
      <c r="S12" s="48"/>
      <c r="T12" s="73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14">
        <f t="shared" si="0"/>
        <v>0</v>
      </c>
      <c r="AI12" s="17"/>
    </row>
    <row r="13" spans="1:35">
      <c r="A13" s="18" t="s">
        <v>12</v>
      </c>
      <c r="B13" s="11"/>
      <c r="C13" s="89"/>
      <c r="D13" s="73"/>
      <c r="E13" s="48"/>
      <c r="F13" s="48"/>
      <c r="G13" s="48"/>
      <c r="H13" s="48"/>
      <c r="I13" s="48"/>
      <c r="J13" s="84"/>
      <c r="K13" s="73"/>
      <c r="L13" s="48"/>
      <c r="M13" s="48"/>
      <c r="N13" s="48"/>
      <c r="O13" s="48"/>
      <c r="P13" s="48"/>
      <c r="Q13" s="48"/>
      <c r="R13" s="48"/>
      <c r="S13" s="48"/>
      <c r="T13" s="73"/>
      <c r="U13" s="48"/>
      <c r="V13" s="48"/>
      <c r="W13" s="48"/>
      <c r="X13" s="48"/>
      <c r="Y13" s="79"/>
      <c r="Z13" s="48"/>
      <c r="AA13" s="48"/>
      <c r="AB13" s="57"/>
      <c r="AC13" s="48"/>
      <c r="AD13" s="48"/>
      <c r="AE13" s="48"/>
      <c r="AF13" s="48"/>
      <c r="AG13" s="48"/>
      <c r="AH13" s="14">
        <f t="shared" si="0"/>
        <v>0</v>
      </c>
      <c r="AI13" s="17"/>
    </row>
    <row r="14" spans="1:35">
      <c r="A14" s="18" t="s">
        <v>13</v>
      </c>
      <c r="B14" s="11"/>
      <c r="C14" s="89"/>
      <c r="D14" s="73"/>
      <c r="E14" s="48"/>
      <c r="F14" s="48"/>
      <c r="G14" s="48"/>
      <c r="H14" s="48"/>
      <c r="I14" s="48"/>
      <c r="J14" s="84"/>
      <c r="K14" s="73"/>
      <c r="L14" s="48"/>
      <c r="M14" s="48"/>
      <c r="N14" s="48"/>
      <c r="O14" s="48"/>
      <c r="P14" s="48"/>
      <c r="Q14" s="48"/>
      <c r="R14" s="48"/>
      <c r="S14" s="48"/>
      <c r="T14" s="73"/>
      <c r="U14" s="48"/>
      <c r="V14" s="48"/>
      <c r="W14" s="48"/>
      <c r="X14" s="48"/>
      <c r="Y14" s="79"/>
      <c r="Z14" s="48"/>
      <c r="AA14" s="48"/>
      <c r="AB14" s="48"/>
      <c r="AC14" s="48"/>
      <c r="AD14" s="48"/>
      <c r="AE14" s="48"/>
      <c r="AF14" s="48"/>
      <c r="AG14" s="48"/>
      <c r="AH14" s="14">
        <f>SUM(C14:AG14)</f>
        <v>0</v>
      </c>
      <c r="AI14" s="17"/>
    </row>
    <row r="15" spans="1:35">
      <c r="A15" s="18" t="s">
        <v>14</v>
      </c>
      <c r="B15" s="11"/>
      <c r="C15" s="89"/>
      <c r="D15" s="73"/>
      <c r="E15" s="48"/>
      <c r="F15" s="48"/>
      <c r="G15" s="48"/>
      <c r="H15" s="48"/>
      <c r="I15" s="48"/>
      <c r="J15" s="84"/>
      <c r="K15" s="73"/>
      <c r="L15" s="48"/>
      <c r="M15" s="48"/>
      <c r="N15" s="48"/>
      <c r="O15" s="48"/>
      <c r="P15" s="48"/>
      <c r="Q15" s="48"/>
      <c r="R15" s="48"/>
      <c r="S15" s="48"/>
      <c r="T15" s="73"/>
      <c r="U15" s="48"/>
      <c r="V15" s="48"/>
      <c r="W15" s="48"/>
      <c r="X15" s="48"/>
      <c r="Y15" s="79"/>
      <c r="Z15" s="48"/>
      <c r="AA15" s="48"/>
      <c r="AB15" s="48"/>
      <c r="AC15" s="48"/>
      <c r="AD15" s="48"/>
      <c r="AE15" s="48"/>
      <c r="AF15" s="48"/>
      <c r="AG15" s="48"/>
      <c r="AH15" s="14">
        <f>SUM(C15:AG15)</f>
        <v>0</v>
      </c>
      <c r="AI15" s="17"/>
    </row>
    <row r="16" spans="1:35">
      <c r="A16" s="15" t="s">
        <v>15</v>
      </c>
      <c r="B16" s="11"/>
      <c r="C16" s="89"/>
      <c r="D16" s="73"/>
      <c r="E16" s="48"/>
      <c r="F16" s="48"/>
      <c r="G16" s="48"/>
      <c r="H16" s="48"/>
      <c r="I16" s="48"/>
      <c r="J16" s="84"/>
      <c r="K16" s="73"/>
      <c r="L16" s="73"/>
      <c r="M16" s="48"/>
      <c r="N16" s="48"/>
      <c r="O16" s="48"/>
      <c r="P16" s="48"/>
      <c r="Q16" s="48"/>
      <c r="R16" s="48"/>
      <c r="S16" s="48"/>
      <c r="T16" s="73"/>
      <c r="U16" s="48"/>
      <c r="V16" s="48"/>
      <c r="W16" s="48"/>
      <c r="X16" s="73">
        <v>10882080</v>
      </c>
      <c r="Y16" s="84">
        <v>555984</v>
      </c>
      <c r="Z16" s="48"/>
      <c r="AA16" s="48"/>
      <c r="AB16" s="48"/>
      <c r="AC16" s="48"/>
      <c r="AD16" s="48"/>
      <c r="AE16" s="48"/>
      <c r="AF16" s="48"/>
      <c r="AG16" s="48"/>
      <c r="AH16" s="14">
        <f t="shared" si="0"/>
        <v>11438064</v>
      </c>
      <c r="AI16" s="17"/>
    </row>
    <row r="17" spans="1:37">
      <c r="A17" s="15" t="s">
        <v>16</v>
      </c>
      <c r="B17" s="11"/>
      <c r="D17" s="78"/>
      <c r="E17" s="41"/>
      <c r="F17" s="41"/>
      <c r="G17" s="65">
        <v>168327497</v>
      </c>
      <c r="H17" s="50"/>
      <c r="I17" s="50"/>
      <c r="J17" s="85"/>
      <c r="K17" s="78"/>
      <c r="L17" s="41"/>
      <c r="M17" s="41"/>
      <c r="N17" s="41"/>
      <c r="O17" s="41"/>
      <c r="P17" s="48"/>
      <c r="Q17" s="41"/>
      <c r="R17" s="41"/>
      <c r="S17" s="89"/>
      <c r="T17" s="73"/>
      <c r="U17" s="48"/>
      <c r="V17" s="48"/>
      <c r="W17" s="48"/>
      <c r="Y17" s="79"/>
      <c r="Z17" s="48"/>
      <c r="AA17" s="48"/>
      <c r="AB17" s="16">
        <v>211677294</v>
      </c>
      <c r="AC17" s="48"/>
      <c r="AD17" s="48"/>
      <c r="AE17" s="48"/>
      <c r="AF17" s="48"/>
      <c r="AG17" s="48"/>
      <c r="AH17" s="14">
        <f>SUM(H17:AG17)</f>
        <v>211677294</v>
      </c>
      <c r="AI17" s="17"/>
    </row>
    <row r="18" spans="1:37">
      <c r="A18" s="15"/>
      <c r="B18" s="11"/>
      <c r="C18" s="85"/>
      <c r="D18" s="78"/>
      <c r="E18" s="41"/>
      <c r="F18" s="41"/>
      <c r="G18" s="41"/>
      <c r="H18" s="50"/>
      <c r="I18" s="50"/>
      <c r="J18" s="85"/>
      <c r="K18" s="78"/>
      <c r="L18" s="41"/>
      <c r="M18" s="41"/>
      <c r="N18" s="41"/>
      <c r="O18" s="41"/>
      <c r="P18" s="48"/>
      <c r="Q18" s="41"/>
      <c r="R18" s="41"/>
      <c r="T18" s="41"/>
      <c r="V18" s="48"/>
      <c r="W18" s="48"/>
      <c r="X18" s="41"/>
      <c r="Z18" s="41"/>
      <c r="AA18" s="41"/>
      <c r="AB18" s="41"/>
      <c r="AC18" s="48"/>
      <c r="AD18" s="48"/>
      <c r="AE18" s="48"/>
      <c r="AF18" s="48"/>
      <c r="AG18" s="48"/>
      <c r="AH18" s="14"/>
      <c r="AI18" s="17"/>
    </row>
    <row r="19" spans="1:37">
      <c r="A19" s="15" t="s">
        <v>17</v>
      </c>
      <c r="B19" s="11"/>
      <c r="C19" s="89"/>
      <c r="D19" s="73"/>
      <c r="E19" s="48"/>
      <c r="F19" s="48"/>
      <c r="G19" s="50"/>
      <c r="H19" s="48"/>
      <c r="I19" s="48"/>
      <c r="J19" s="84"/>
      <c r="K19" s="73"/>
      <c r="L19" s="88"/>
      <c r="M19" s="48"/>
      <c r="N19" s="48"/>
      <c r="O19" s="48"/>
      <c r="P19" s="48"/>
      <c r="Q19" s="48"/>
      <c r="R19" s="48"/>
      <c r="S19" s="79"/>
      <c r="T19" s="73"/>
      <c r="U19" s="48"/>
      <c r="V19" s="48"/>
      <c r="W19" s="48"/>
      <c r="X19" s="48"/>
      <c r="Y19" s="79"/>
      <c r="Z19" s="48"/>
      <c r="AA19" s="48"/>
      <c r="AB19" s="48"/>
      <c r="AC19" s="48"/>
      <c r="AD19" s="48"/>
      <c r="AE19" s="48"/>
      <c r="AF19" s="48"/>
      <c r="AG19" s="48"/>
      <c r="AH19" s="14">
        <f t="shared" si="0"/>
        <v>0</v>
      </c>
      <c r="AI19" s="17"/>
    </row>
    <row r="20" spans="1:37">
      <c r="A20" s="15" t="s">
        <v>18</v>
      </c>
      <c r="B20" s="11"/>
      <c r="C20" s="13"/>
      <c r="D20" s="73"/>
      <c r="E20" s="48"/>
      <c r="F20" s="48"/>
      <c r="G20" s="48"/>
      <c r="H20" s="48"/>
      <c r="I20" s="48"/>
      <c r="J20" s="84"/>
      <c r="K20" s="73"/>
      <c r="L20" s="88"/>
      <c r="M20" s="48"/>
      <c r="N20" s="48"/>
      <c r="O20" s="48"/>
      <c r="P20" s="48"/>
      <c r="Q20" s="48"/>
      <c r="R20" s="48"/>
      <c r="S20" s="79"/>
      <c r="T20" s="73"/>
      <c r="U20" s="48"/>
      <c r="V20" s="48"/>
      <c r="X20" s="48"/>
      <c r="Y20" s="79"/>
      <c r="Z20" s="48"/>
      <c r="AA20" s="48"/>
      <c r="AB20" s="48"/>
      <c r="AC20" s="48"/>
      <c r="AD20" s="48"/>
      <c r="AE20" s="48"/>
      <c r="AF20" s="48"/>
      <c r="AG20" s="48"/>
      <c r="AH20" s="14">
        <f t="shared" si="0"/>
        <v>0</v>
      </c>
      <c r="AI20" s="17"/>
    </row>
    <row r="21" spans="1:37" ht="15">
      <c r="A21" s="15" t="s">
        <v>19</v>
      </c>
      <c r="B21" s="11"/>
      <c r="C21" s="13"/>
      <c r="D21" s="73"/>
      <c r="E21" s="48"/>
      <c r="F21" s="41"/>
      <c r="G21" s="41"/>
      <c r="H21" s="48"/>
      <c r="I21" s="51"/>
      <c r="K21" s="78"/>
      <c r="M21" s="41"/>
      <c r="N21" s="50"/>
      <c r="P21" s="48"/>
      <c r="Q21" s="41"/>
      <c r="S21" s="73">
        <v>268000000</v>
      </c>
      <c r="T21" s="73"/>
      <c r="U21" s="48"/>
      <c r="V21" s="48"/>
      <c r="W21" s="48"/>
      <c r="X21" s="73">
        <v>270000000</v>
      </c>
      <c r="Y21" s="79"/>
      <c r="Z21" s="48"/>
      <c r="AA21" s="48"/>
      <c r="AB21" s="93">
        <v>270000000</v>
      </c>
      <c r="AC21" s="48"/>
      <c r="AD21" s="48"/>
      <c r="AE21" s="48"/>
      <c r="AF21" s="48"/>
      <c r="AG21" s="48"/>
      <c r="AH21" s="14">
        <f t="shared" si="0"/>
        <v>808000000</v>
      </c>
      <c r="AI21" s="17"/>
    </row>
    <row r="22" spans="1:37">
      <c r="A22" s="15" t="s">
        <v>20</v>
      </c>
      <c r="B22" s="11"/>
      <c r="C22" s="13"/>
      <c r="D22" s="73"/>
      <c r="E22" s="48"/>
      <c r="F22" s="48"/>
      <c r="G22" s="73">
        <f>34858701-620000</f>
        <v>34238701</v>
      </c>
      <c r="H22" s="48"/>
      <c r="I22" s="48"/>
      <c r="J22" s="84"/>
      <c r="K22" s="73"/>
      <c r="L22" s="88"/>
      <c r="M22" s="41"/>
      <c r="N22" s="79"/>
      <c r="O22" s="48"/>
      <c r="P22" s="48"/>
      <c r="Q22" s="48"/>
      <c r="R22" s="48"/>
      <c r="S22" s="79"/>
      <c r="T22" s="73"/>
      <c r="U22" s="48"/>
      <c r="V22" s="48"/>
      <c r="W22" s="48"/>
      <c r="X22" s="73">
        <f>35977721-30859506-435000-552210</f>
        <v>4131005</v>
      </c>
      <c r="Y22" s="79"/>
      <c r="Z22" s="48"/>
      <c r="AA22" s="48"/>
      <c r="AB22" s="48"/>
      <c r="AC22" s="48"/>
      <c r="AD22" s="48"/>
      <c r="AE22" s="48"/>
      <c r="AF22" s="48"/>
      <c r="AG22" s="48"/>
      <c r="AH22" s="14">
        <f t="shared" si="0"/>
        <v>38369706</v>
      </c>
      <c r="AI22" s="17"/>
    </row>
    <row r="23" spans="1:37">
      <c r="A23" s="15" t="s">
        <v>43</v>
      </c>
      <c r="B23" s="11"/>
      <c r="C23" s="13"/>
      <c r="D23" s="73"/>
      <c r="E23" s="48"/>
      <c r="F23" s="48"/>
      <c r="G23" s="48"/>
      <c r="H23" s="48"/>
      <c r="I23" s="48"/>
      <c r="J23" s="84">
        <f>77751960-10663536</f>
        <v>67088424</v>
      </c>
      <c r="K23" s="73"/>
      <c r="L23" s="41"/>
      <c r="M23" s="73"/>
      <c r="N23" s="79"/>
      <c r="O23" s="48"/>
      <c r="P23" s="48"/>
      <c r="Q23" s="73"/>
      <c r="R23" s="48"/>
      <c r="S23" s="84">
        <v>138441600</v>
      </c>
      <c r="T23" s="73"/>
      <c r="U23" s="48"/>
      <c r="V23" s="48"/>
      <c r="W23" s="48"/>
      <c r="X23" s="73">
        <v>138441600</v>
      </c>
      <c r="Y23" s="79"/>
      <c r="Z23" s="48"/>
      <c r="AA23" s="73">
        <v>72864000</v>
      </c>
      <c r="AB23" s="73">
        <v>116886000</v>
      </c>
      <c r="AC23" s="48"/>
      <c r="AE23" s="48"/>
      <c r="AF23" s="48"/>
      <c r="AG23" s="48"/>
      <c r="AH23" s="14">
        <f t="shared" si="0"/>
        <v>533721624</v>
      </c>
      <c r="AI23" s="17">
        <f>390501249-392501249</f>
        <v>-2000000</v>
      </c>
    </row>
    <row r="24" spans="1:37">
      <c r="A24" s="15" t="s">
        <v>44</v>
      </c>
      <c r="B24" s="11"/>
      <c r="C24" s="13">
        <v>120409582</v>
      </c>
      <c r="D24" s="73"/>
      <c r="E24" s="73">
        <f>135800280-108376684</f>
        <v>27423596</v>
      </c>
      <c r="F24" s="48"/>
      <c r="G24" s="48"/>
      <c r="H24" s="48"/>
      <c r="I24" s="48"/>
      <c r="J24" s="84"/>
      <c r="K24" s="73"/>
      <c r="L24" s="41"/>
      <c r="M24" s="48"/>
      <c r="N24" s="79"/>
      <c r="O24" s="48"/>
      <c r="P24" s="48"/>
      <c r="Q24" s="48"/>
      <c r="R24" s="73"/>
      <c r="S24" s="48"/>
      <c r="T24" s="73"/>
      <c r="U24" s="48"/>
      <c r="V24" s="48"/>
      <c r="W24" s="48"/>
      <c r="X24" s="48"/>
      <c r="Y24" s="79"/>
      <c r="Z24" s="48"/>
      <c r="AA24" s="48"/>
      <c r="AB24" s="73">
        <f>335258808-304304276</f>
        <v>30954532</v>
      </c>
      <c r="AC24" s="48"/>
      <c r="AD24" s="48"/>
      <c r="AE24" s="48"/>
      <c r="AF24" s="17"/>
      <c r="AG24" s="48"/>
      <c r="AH24" s="14">
        <f>SUM(C24:AG24)</f>
        <v>178787710</v>
      </c>
    </row>
    <row r="25" spans="1:37">
      <c r="A25" s="15" t="s">
        <v>21</v>
      </c>
      <c r="B25" s="11"/>
      <c r="C25" s="13"/>
      <c r="D25" s="73"/>
      <c r="E25" s="48"/>
      <c r="F25" s="48"/>
      <c r="G25" s="48"/>
      <c r="H25" s="48"/>
      <c r="I25" s="48"/>
      <c r="J25" s="84"/>
      <c r="K25" s="73"/>
      <c r="L25" s="41"/>
      <c r="M25" s="48"/>
      <c r="N25" s="79"/>
      <c r="O25" s="48"/>
      <c r="P25" s="48"/>
      <c r="Q25" s="48"/>
      <c r="R25" s="48"/>
      <c r="S25" s="48"/>
      <c r="T25" s="73"/>
      <c r="U25" s="48"/>
      <c r="V25" s="48"/>
      <c r="W25" s="48"/>
      <c r="X25" s="73">
        <v>10436985</v>
      </c>
      <c r="Y25" s="79"/>
      <c r="Z25" s="48"/>
      <c r="AA25" s="48"/>
      <c r="AB25" s="48"/>
      <c r="AC25" s="48"/>
      <c r="AD25" s="48"/>
      <c r="AE25" s="48"/>
      <c r="AF25" s="48"/>
      <c r="AG25" s="48"/>
      <c r="AH25" s="14">
        <f t="shared" si="0"/>
        <v>10436985</v>
      </c>
      <c r="AI25" s="17"/>
    </row>
    <row r="26" spans="1:37">
      <c r="A26" s="15" t="s">
        <v>22</v>
      </c>
      <c r="B26" s="11"/>
      <c r="C26" s="13"/>
      <c r="D26" s="73"/>
      <c r="E26" s="48"/>
      <c r="F26" s="48"/>
      <c r="G26" s="48"/>
      <c r="H26" s="48"/>
      <c r="I26" s="48"/>
      <c r="J26" s="84"/>
      <c r="K26" s="73"/>
      <c r="L26" s="41"/>
      <c r="M26" s="48"/>
      <c r="N26" s="79"/>
      <c r="O26" s="48"/>
      <c r="P26" s="48"/>
      <c r="Q26" s="48"/>
      <c r="R26" s="91"/>
      <c r="S26" s="48"/>
      <c r="T26" s="73"/>
      <c r="U26" s="48"/>
      <c r="V26" s="48"/>
      <c r="W26" s="48"/>
      <c r="X26" s="48"/>
      <c r="Y26" s="79"/>
      <c r="Z26" s="48"/>
      <c r="AA26" s="48"/>
      <c r="AB26" s="48"/>
      <c r="AC26" s="48"/>
      <c r="AD26" s="48"/>
      <c r="AE26" s="48"/>
      <c r="AF26" s="48"/>
      <c r="AG26" s="48"/>
      <c r="AH26" s="14">
        <f t="shared" si="0"/>
        <v>0</v>
      </c>
      <c r="AI26" s="17"/>
    </row>
    <row r="27" spans="1:37">
      <c r="A27" s="15" t="s">
        <v>23</v>
      </c>
      <c r="B27" s="11"/>
      <c r="C27" s="13">
        <v>236425000</v>
      </c>
      <c r="D27" s="73"/>
      <c r="E27" s="48"/>
      <c r="F27" s="48"/>
      <c r="G27" s="48"/>
      <c r="H27" s="48"/>
      <c r="I27" s="48"/>
      <c r="J27" s="84"/>
      <c r="K27" s="73"/>
      <c r="L27" s="41"/>
      <c r="M27" s="48"/>
      <c r="N27" s="79"/>
      <c r="O27" s="48"/>
      <c r="P27" s="48"/>
      <c r="Q27" s="79"/>
      <c r="R27" s="48"/>
      <c r="S27" s="48"/>
      <c r="T27" s="73"/>
      <c r="U27" s="48"/>
      <c r="V27" s="48"/>
      <c r="W27" s="48"/>
      <c r="X27" s="48"/>
      <c r="Y27" s="79"/>
      <c r="Z27" s="50"/>
      <c r="AA27" s="50"/>
      <c r="AB27" s="50"/>
      <c r="AC27" s="48"/>
      <c r="AD27" s="48"/>
      <c r="AE27" s="48"/>
      <c r="AF27" s="48"/>
      <c r="AG27" s="48"/>
      <c r="AH27" s="14">
        <f t="shared" si="0"/>
        <v>236425000</v>
      </c>
      <c r="AI27" s="17"/>
    </row>
    <row r="28" spans="1:37">
      <c r="A28" s="15" t="s">
        <v>45</v>
      </c>
      <c r="B28" s="11"/>
      <c r="C28" s="78"/>
      <c r="D28" s="78"/>
      <c r="E28" s="41"/>
      <c r="F28" s="41"/>
      <c r="G28" s="41"/>
      <c r="H28" s="48"/>
      <c r="I28" s="41"/>
      <c r="J28" s="85"/>
      <c r="K28" s="78"/>
      <c r="L28" s="41"/>
      <c r="M28" s="41"/>
      <c r="N28" s="88"/>
      <c r="O28" s="41"/>
      <c r="P28" s="48"/>
      <c r="Q28" s="88"/>
      <c r="R28" s="41"/>
      <c r="S28" s="41"/>
      <c r="T28" s="41"/>
      <c r="U28" s="41"/>
      <c r="V28" s="48"/>
      <c r="W28" s="48"/>
      <c r="X28" s="41"/>
      <c r="Y28" s="88"/>
      <c r="Z28" s="41"/>
      <c r="AA28" s="41"/>
      <c r="AB28" s="86">
        <v>86625000</v>
      </c>
      <c r="AC28" s="50"/>
      <c r="AD28" s="48"/>
      <c r="AE28" s="48"/>
      <c r="AF28" s="48"/>
      <c r="AG28" s="48"/>
      <c r="AH28" s="14">
        <f>SUM(E28:AG28)</f>
        <v>86625000</v>
      </c>
      <c r="AI28" s="17"/>
      <c r="AJ28" s="33">
        <v>245437500</v>
      </c>
      <c r="AK28" s="44">
        <v>44137</v>
      </c>
    </row>
    <row r="29" spans="1:37">
      <c r="A29" s="15"/>
      <c r="B29" s="11"/>
      <c r="C29" s="78"/>
      <c r="D29" s="78"/>
      <c r="E29" s="41"/>
      <c r="F29" s="41"/>
      <c r="G29" s="41"/>
      <c r="H29" s="48"/>
      <c r="I29" s="41"/>
      <c r="J29" s="85"/>
      <c r="K29" s="78"/>
      <c r="L29" s="41"/>
      <c r="M29" s="41"/>
      <c r="N29" s="88"/>
      <c r="O29" s="41"/>
      <c r="P29" s="48"/>
      <c r="Q29" s="88"/>
      <c r="R29" s="41"/>
      <c r="S29" s="41"/>
      <c r="T29" s="41"/>
      <c r="U29" s="41"/>
      <c r="V29" s="48"/>
      <c r="W29" s="48"/>
      <c r="X29" s="41"/>
      <c r="Y29" s="88"/>
      <c r="Z29" s="41"/>
      <c r="AA29" s="41"/>
      <c r="AB29" s="86">
        <v>92400000</v>
      </c>
      <c r="AC29" s="50"/>
      <c r="AD29" s="48"/>
      <c r="AE29" s="48"/>
      <c r="AF29" s="48"/>
      <c r="AG29" s="48"/>
      <c r="AH29" s="14"/>
      <c r="AI29" s="17"/>
      <c r="AJ29" s="82"/>
      <c r="AK29" s="44"/>
    </row>
    <row r="30" spans="1:37">
      <c r="A30" s="15"/>
      <c r="B30" s="11"/>
      <c r="C30" s="78"/>
      <c r="D30" s="78"/>
      <c r="E30" s="41"/>
      <c r="F30" s="41"/>
      <c r="G30" s="41"/>
      <c r="H30" s="48"/>
      <c r="I30" s="41"/>
      <c r="J30" s="85"/>
      <c r="K30" s="78"/>
      <c r="L30" s="41"/>
      <c r="M30" s="41"/>
      <c r="N30" s="88"/>
      <c r="O30" s="41"/>
      <c r="P30" s="48"/>
      <c r="Q30" s="88"/>
      <c r="R30" s="41"/>
      <c r="S30" s="41"/>
      <c r="T30" s="41"/>
      <c r="U30" s="41"/>
      <c r="V30" s="48"/>
      <c r="W30" s="48"/>
      <c r="X30" s="41"/>
      <c r="Y30" s="88"/>
      <c r="Z30" s="41"/>
      <c r="AA30" s="41"/>
      <c r="AB30" s="86">
        <v>86625000</v>
      </c>
      <c r="AC30" s="50"/>
      <c r="AD30" s="48"/>
      <c r="AE30" s="48"/>
      <c r="AF30" s="48"/>
      <c r="AG30" s="48"/>
      <c r="AH30" s="14"/>
      <c r="AI30" s="17"/>
      <c r="AJ30" s="82"/>
      <c r="AK30" s="44"/>
    </row>
    <row r="31" spans="1:37">
      <c r="A31" s="15"/>
      <c r="B31" s="11"/>
      <c r="C31" s="78"/>
      <c r="D31" s="78"/>
      <c r="E31" s="41"/>
      <c r="F31" s="41"/>
      <c r="G31" s="41"/>
      <c r="H31" s="48"/>
      <c r="I31" s="41"/>
      <c r="J31" s="85"/>
      <c r="K31" s="78"/>
      <c r="L31" s="41"/>
      <c r="M31" s="41"/>
      <c r="N31" s="88"/>
      <c r="O31" s="41"/>
      <c r="P31" s="48"/>
      <c r="Q31" s="88"/>
      <c r="R31" s="41"/>
      <c r="S31" s="86"/>
      <c r="T31" s="41"/>
      <c r="U31" s="41"/>
      <c r="V31" s="48"/>
      <c r="W31" s="48"/>
      <c r="X31" s="41"/>
      <c r="Y31" s="88"/>
      <c r="Z31" s="41"/>
      <c r="AA31" s="41"/>
      <c r="AB31" s="48">
        <v>91951200</v>
      </c>
      <c r="AC31" s="50"/>
      <c r="AD31" s="48"/>
      <c r="AE31" s="48"/>
      <c r="AF31" s="48"/>
      <c r="AG31" s="48"/>
      <c r="AH31" s="14"/>
      <c r="AI31" s="17"/>
      <c r="AJ31" s="82"/>
      <c r="AK31" s="44"/>
    </row>
    <row r="32" spans="1:37">
      <c r="A32" s="15"/>
      <c r="B32" s="11"/>
      <c r="C32" s="78"/>
      <c r="D32" s="78"/>
      <c r="E32" s="41"/>
      <c r="F32" s="41"/>
      <c r="G32" s="41"/>
      <c r="H32" s="48"/>
      <c r="I32" s="41"/>
      <c r="J32" s="85"/>
      <c r="K32" s="78"/>
      <c r="L32" s="41"/>
      <c r="M32" s="41"/>
      <c r="N32" s="88"/>
      <c r="O32" s="41"/>
      <c r="P32" s="48"/>
      <c r="Q32" s="88"/>
      <c r="R32" s="41"/>
      <c r="S32" s="86"/>
      <c r="T32" s="41"/>
      <c r="U32" s="41"/>
      <c r="V32" s="48"/>
      <c r="W32" s="48"/>
      <c r="X32" s="48"/>
      <c r="Y32" s="88"/>
      <c r="Z32" s="41"/>
      <c r="AA32" s="41"/>
      <c r="AB32" s="42">
        <v>142931250</v>
      </c>
      <c r="AC32" s="50"/>
      <c r="AD32" s="48"/>
      <c r="AE32" s="48"/>
      <c r="AF32" s="48"/>
      <c r="AG32" s="48"/>
      <c r="AH32" s="14"/>
      <c r="AI32" s="17"/>
      <c r="AJ32" s="82"/>
      <c r="AK32" s="44"/>
    </row>
    <row r="33" spans="1:36">
      <c r="A33" s="15" t="s">
        <v>24</v>
      </c>
      <c r="B33" s="11"/>
      <c r="C33" s="13"/>
      <c r="D33" s="73"/>
      <c r="E33" s="48"/>
      <c r="F33" s="48"/>
      <c r="G33" s="48"/>
      <c r="H33" s="48"/>
      <c r="I33" s="48"/>
      <c r="J33" s="84"/>
      <c r="K33" s="73"/>
      <c r="L33" s="48"/>
      <c r="M33" s="48"/>
      <c r="N33" s="79"/>
      <c r="O33" s="48"/>
      <c r="P33" s="48"/>
      <c r="Q33" s="79"/>
      <c r="R33" s="48"/>
      <c r="S33" s="48"/>
      <c r="T33" s="73"/>
      <c r="U33" s="48"/>
      <c r="V33" s="48"/>
      <c r="W33" s="48"/>
      <c r="X33" s="73"/>
      <c r="Y33" s="41"/>
      <c r="Z33" s="48"/>
      <c r="AA33" s="48"/>
      <c r="AB33" s="48"/>
      <c r="AC33" s="48"/>
      <c r="AD33" s="48"/>
      <c r="AE33" s="48"/>
      <c r="AF33" s="48"/>
      <c r="AG33" s="48"/>
      <c r="AH33" s="14">
        <f>SUM(C33:AG33)</f>
        <v>0</v>
      </c>
      <c r="AI33" s="17"/>
    </row>
    <row r="34" spans="1:36">
      <c r="A34" s="15" t="s">
        <v>25</v>
      </c>
      <c r="B34" s="11"/>
      <c r="C34" s="13"/>
      <c r="D34" s="73"/>
      <c r="E34" s="48"/>
      <c r="F34" s="48"/>
      <c r="G34" s="77"/>
      <c r="H34" s="41"/>
      <c r="I34" s="48"/>
      <c r="J34" s="84"/>
      <c r="K34" s="73"/>
      <c r="L34" s="48"/>
      <c r="M34" s="48"/>
      <c r="N34" s="79"/>
      <c r="O34" s="48"/>
      <c r="P34" s="48"/>
      <c r="Q34" s="79"/>
      <c r="R34" s="48"/>
      <c r="S34" s="57"/>
      <c r="T34" s="73"/>
      <c r="U34" s="48"/>
      <c r="V34" s="48"/>
      <c r="W34" s="48"/>
      <c r="X34" s="48"/>
      <c r="Y34" s="48"/>
      <c r="Z34" s="48"/>
      <c r="AA34" s="48"/>
      <c r="AB34" s="48"/>
      <c r="AC34" s="48"/>
      <c r="AE34" s="48"/>
      <c r="AF34" s="48"/>
      <c r="AG34" s="48"/>
      <c r="AH34" s="14">
        <f>SUM(C34:AG34)</f>
        <v>0</v>
      </c>
      <c r="AI34" s="17"/>
      <c r="AJ34" s="48">
        <v>127684117</v>
      </c>
    </row>
    <row r="35" spans="1:36">
      <c r="A35" s="15" t="s">
        <v>26</v>
      </c>
      <c r="B35" s="11"/>
      <c r="C35" s="13"/>
      <c r="D35" s="73"/>
      <c r="E35" s="48"/>
      <c r="F35" s="48"/>
      <c r="G35" s="48"/>
      <c r="H35" s="48"/>
      <c r="I35" s="48"/>
      <c r="J35" s="84"/>
      <c r="K35" s="73"/>
      <c r="L35" s="48"/>
      <c r="M35" s="48"/>
      <c r="N35" s="79"/>
      <c r="O35" s="48"/>
      <c r="P35" s="48"/>
      <c r="Q35" s="84"/>
      <c r="R35" s="48"/>
      <c r="S35" s="57"/>
      <c r="T35" s="48"/>
      <c r="U35" s="48"/>
      <c r="V35" s="48"/>
      <c r="W35" s="48"/>
      <c r="X35" s="73"/>
      <c r="Y35" s="48"/>
      <c r="Z35" s="48"/>
      <c r="AA35" s="48"/>
      <c r="AB35" s="48"/>
      <c r="AC35" s="48"/>
      <c r="AD35" s="48"/>
      <c r="AE35" s="48"/>
      <c r="AF35" s="48"/>
      <c r="AG35" s="48"/>
      <c r="AH35" s="14">
        <f>SUM(C35:AG35)</f>
        <v>0</v>
      </c>
      <c r="AI35" s="17"/>
    </row>
    <row r="36" spans="1:36" ht="15">
      <c r="A36" s="15" t="s">
        <v>27</v>
      </c>
      <c r="B36" s="11"/>
      <c r="C36" s="13"/>
      <c r="D36" s="13"/>
      <c r="E36" s="48"/>
      <c r="F36" s="48"/>
      <c r="G36" s="48"/>
      <c r="H36" s="51"/>
      <c r="I36" s="51"/>
      <c r="J36" s="84"/>
      <c r="K36" s="73"/>
      <c r="L36" s="48"/>
      <c r="M36" s="48"/>
      <c r="N36" s="48"/>
      <c r="O36" s="48"/>
      <c r="P36" s="48"/>
      <c r="Q36" s="84">
        <f>191750000-10113640</f>
        <v>181636360</v>
      </c>
      <c r="R36" s="48"/>
      <c r="S36" s="57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14">
        <f t="shared" si="0"/>
        <v>181636360</v>
      </c>
      <c r="AI36" s="17"/>
    </row>
    <row r="37" spans="1:36" ht="15">
      <c r="A37" s="15" t="s">
        <v>109</v>
      </c>
      <c r="B37" s="11"/>
      <c r="C37" s="13"/>
      <c r="D37" s="13"/>
      <c r="E37" s="48"/>
      <c r="F37" s="48"/>
      <c r="G37" s="48"/>
      <c r="H37" s="51"/>
      <c r="I37" s="51"/>
      <c r="J37" s="84"/>
      <c r="K37" s="73"/>
      <c r="L37" s="48"/>
      <c r="M37" s="73">
        <v>156650000</v>
      </c>
      <c r="N37" s="48"/>
      <c r="O37" s="48"/>
      <c r="P37" s="48"/>
      <c r="Q37" s="73">
        <v>321402500</v>
      </c>
      <c r="R37" s="92"/>
      <c r="S37" s="48"/>
      <c r="T37" s="48"/>
      <c r="U37" s="48"/>
      <c r="V37" s="48"/>
      <c r="W37" s="48"/>
      <c r="X37" s="48"/>
      <c r="Y37" s="48"/>
      <c r="Z37" s="48"/>
      <c r="AA37" s="73">
        <v>165000</v>
      </c>
      <c r="AB37" s="48"/>
      <c r="AC37" s="48"/>
      <c r="AD37" s="48"/>
      <c r="AE37" s="48"/>
      <c r="AF37" s="48"/>
      <c r="AG37" s="48"/>
      <c r="AH37" s="14"/>
      <c r="AI37" s="17"/>
    </row>
    <row r="38" spans="1:36">
      <c r="A38" s="15" t="s">
        <v>28</v>
      </c>
      <c r="B38" s="11"/>
      <c r="C38" s="13"/>
      <c r="D38" s="73"/>
      <c r="E38" s="48"/>
      <c r="F38" s="48"/>
      <c r="G38" s="48"/>
      <c r="H38" s="48"/>
      <c r="I38" s="48"/>
      <c r="J38" s="84"/>
      <c r="K38" s="73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14">
        <f t="shared" si="0"/>
        <v>0</v>
      </c>
      <c r="AI38" s="17"/>
    </row>
    <row r="39" spans="1:36">
      <c r="A39" s="15" t="s">
        <v>29</v>
      </c>
      <c r="B39" s="11"/>
      <c r="C39" s="13"/>
      <c r="D39" s="73"/>
      <c r="E39" s="48"/>
      <c r="F39" s="48"/>
      <c r="G39" s="48"/>
      <c r="H39" s="48"/>
      <c r="I39" s="48"/>
      <c r="J39" s="84"/>
      <c r="K39" s="73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14">
        <f>SUM(C39:AG39)</f>
        <v>0</v>
      </c>
      <c r="AI39" s="17"/>
    </row>
    <row r="40" spans="1:36">
      <c r="A40" s="15" t="s">
        <v>30</v>
      </c>
      <c r="B40" s="11"/>
      <c r="C40" s="13"/>
      <c r="D40" s="73"/>
      <c r="E40" s="57"/>
      <c r="F40" s="48"/>
      <c r="G40" s="48"/>
      <c r="H40" s="48"/>
      <c r="I40" s="48"/>
      <c r="J40" s="84"/>
      <c r="K40" s="73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14">
        <f>SUM(C40:AG40)</f>
        <v>0</v>
      </c>
      <c r="AI40" s="17"/>
    </row>
    <row r="41" spans="1:36">
      <c r="A41" s="15" t="s">
        <v>31</v>
      </c>
      <c r="B41" s="11"/>
      <c r="C41" s="13"/>
      <c r="D41" s="73"/>
      <c r="E41" s="57"/>
      <c r="F41" s="48"/>
      <c r="G41" s="48"/>
      <c r="H41" s="48"/>
      <c r="I41" s="48"/>
      <c r="J41" s="84"/>
      <c r="K41" s="73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14">
        <f>SUM(C41:AG41)</f>
        <v>0</v>
      </c>
      <c r="AI41" s="17"/>
    </row>
    <row r="42" spans="1:36">
      <c r="A42" s="32" t="s">
        <v>46</v>
      </c>
      <c r="B42" s="11"/>
      <c r="C42" s="13">
        <v>35000000</v>
      </c>
      <c r="D42" s="13"/>
      <c r="E42" s="57"/>
      <c r="F42" s="73">
        <v>13401469</v>
      </c>
      <c r="G42" s="73">
        <v>13389527</v>
      </c>
      <c r="H42" s="48"/>
      <c r="I42" s="48"/>
      <c r="K42" s="78"/>
      <c r="M42" s="73">
        <v>987991609</v>
      </c>
      <c r="N42" s="48"/>
      <c r="O42" s="48"/>
      <c r="P42" s="48"/>
      <c r="Q42" s="73">
        <v>350000000</v>
      </c>
      <c r="R42" s="73">
        <v>14489111</v>
      </c>
      <c r="S42" s="73"/>
      <c r="T42" s="73">
        <v>14226205</v>
      </c>
      <c r="U42" s="73">
        <f>2000000000+276331770</f>
        <v>2276331770</v>
      </c>
      <c r="V42" s="48"/>
      <c r="W42" s="48"/>
      <c r="X42" s="73"/>
      <c r="Y42" s="73"/>
      <c r="Z42" s="48"/>
      <c r="AA42" s="48"/>
      <c r="AB42" s="94">
        <v>35000000</v>
      </c>
      <c r="AC42" s="48"/>
      <c r="AD42" s="48"/>
      <c r="AE42" s="48"/>
      <c r="AF42" s="48"/>
      <c r="AG42" s="48"/>
      <c r="AH42" s="14">
        <f>SUM(C42:AG42)</f>
        <v>3739829691</v>
      </c>
      <c r="AI42" s="17"/>
    </row>
    <row r="43" spans="1:36">
      <c r="A43" s="32" t="s">
        <v>47</v>
      </c>
      <c r="B43" s="11"/>
      <c r="C43" s="65">
        <f>99595018+39774165+350000000</f>
        <v>489369183</v>
      </c>
      <c r="D43" s="65"/>
      <c r="F43" s="16"/>
      <c r="H43" s="48"/>
      <c r="I43" s="48"/>
      <c r="J43" s="73">
        <f>350000000+9053127</f>
        <v>359053127</v>
      </c>
      <c r="K43" s="73"/>
      <c r="L43" s="73">
        <v>9521699</v>
      </c>
      <c r="M43" s="73">
        <f>7704107+126843331+14858950</f>
        <v>149406388</v>
      </c>
      <c r="N43" s="48"/>
      <c r="O43" s="48"/>
      <c r="P43" s="48"/>
      <c r="Q43" s="73"/>
      <c r="R43" s="48"/>
      <c r="S43" s="73"/>
      <c r="T43" s="48"/>
      <c r="U43" s="73">
        <v>438841260</v>
      </c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14">
        <f>SUM(F43:AG43)</f>
        <v>956822474</v>
      </c>
      <c r="AI43" s="17"/>
    </row>
    <row r="44" spans="1:36">
      <c r="A44" s="19" t="s">
        <v>32</v>
      </c>
      <c r="B44" s="20"/>
      <c r="C44" s="66">
        <f>SUM(C7:C43)</f>
        <v>881203765</v>
      </c>
      <c r="D44" s="66">
        <f>SUM(D7:D43)</f>
        <v>0</v>
      </c>
      <c r="E44" s="58">
        <f>SUM(E7:E43)</f>
        <v>27423596</v>
      </c>
      <c r="F44" s="21">
        <f>SUM(F7:F43)</f>
        <v>159391236</v>
      </c>
      <c r="G44" s="21">
        <f>SUM(G7:G43)</f>
        <v>215955725</v>
      </c>
      <c r="H44" s="21">
        <f>SUM(H8:H43)</f>
        <v>0</v>
      </c>
      <c r="I44" s="21">
        <f t="shared" ref="I44:N44" si="1">SUM(I7:I43)</f>
        <v>0</v>
      </c>
      <c r="J44" s="66">
        <f t="shared" si="1"/>
        <v>426141551</v>
      </c>
      <c r="K44" s="66">
        <f t="shared" si="1"/>
        <v>0</v>
      </c>
      <c r="L44" s="21"/>
      <c r="M44" s="21">
        <f t="shared" si="1"/>
        <v>1381927997</v>
      </c>
      <c r="N44" s="21">
        <f t="shared" si="1"/>
        <v>0</v>
      </c>
      <c r="O44" s="21">
        <f>SUM(O8:O43)</f>
        <v>0</v>
      </c>
      <c r="P44" s="21">
        <f t="shared" ref="P44:AH44" si="2">SUM(P7:P43)</f>
        <v>0</v>
      </c>
      <c r="Q44" s="21">
        <f t="shared" si="2"/>
        <v>853038860</v>
      </c>
      <c r="R44" s="21">
        <f>SUM(R7:R43)</f>
        <v>146402915</v>
      </c>
      <c r="S44" s="21">
        <f t="shared" si="2"/>
        <v>406441600</v>
      </c>
      <c r="T44" s="21">
        <f t="shared" si="2"/>
        <v>14226205</v>
      </c>
      <c r="U44" s="21">
        <f t="shared" si="2"/>
        <v>2882882577</v>
      </c>
      <c r="V44" s="21">
        <f t="shared" si="2"/>
        <v>0</v>
      </c>
      <c r="W44" s="21">
        <f t="shared" si="2"/>
        <v>0</v>
      </c>
      <c r="X44" s="21">
        <f>SUM(X7:X43)</f>
        <v>433891670</v>
      </c>
      <c r="Y44" s="21">
        <f t="shared" si="2"/>
        <v>555984</v>
      </c>
      <c r="Z44" s="21">
        <f t="shared" si="2"/>
        <v>0</v>
      </c>
      <c r="AA44" s="21">
        <f t="shared" si="2"/>
        <v>73029000</v>
      </c>
      <c r="AB44" s="21">
        <f t="shared" si="2"/>
        <v>1165050276</v>
      </c>
      <c r="AC44" s="21">
        <f t="shared" si="2"/>
        <v>0</v>
      </c>
      <c r="AD44" s="21">
        <f t="shared" si="2"/>
        <v>0</v>
      </c>
      <c r="AE44" s="21">
        <f t="shared" si="2"/>
        <v>0</v>
      </c>
      <c r="AF44" s="21">
        <f t="shared" si="2"/>
        <v>0</v>
      </c>
      <c r="AG44" s="21">
        <f t="shared" si="2"/>
        <v>0</v>
      </c>
      <c r="AH44" s="21">
        <f t="shared" si="2"/>
        <v>7527263026</v>
      </c>
    </row>
    <row r="45" spans="1:36">
      <c r="A45" s="22"/>
      <c r="B45" s="11"/>
      <c r="C45" s="67"/>
      <c r="D45" s="67"/>
      <c r="E45" s="59"/>
      <c r="F45" s="12"/>
      <c r="G45" s="12"/>
      <c r="H45" s="12"/>
      <c r="I45" s="12"/>
      <c r="J45" s="67"/>
      <c r="K45" s="67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2"/>
      <c r="AD45" s="12"/>
      <c r="AE45" s="12"/>
      <c r="AF45" s="12"/>
      <c r="AG45" s="12"/>
      <c r="AH45" s="23"/>
      <c r="AI45" s="6"/>
    </row>
    <row r="46" spans="1:36">
      <c r="A46" s="24" t="s">
        <v>33</v>
      </c>
      <c r="B46" s="11"/>
      <c r="C46" s="67"/>
      <c r="D46" s="67"/>
      <c r="E46" s="59"/>
      <c r="F46" s="12"/>
      <c r="G46" s="12"/>
      <c r="H46" s="12"/>
      <c r="I46" s="12"/>
      <c r="J46" s="67"/>
      <c r="K46" s="67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67"/>
      <c r="AB46" s="67"/>
      <c r="AC46" s="12"/>
      <c r="AD46" s="12"/>
      <c r="AE46" s="12"/>
      <c r="AF46" s="12"/>
      <c r="AG46" s="12"/>
      <c r="AH46" s="23"/>
      <c r="AI46" s="6"/>
    </row>
    <row r="47" spans="1:36">
      <c r="A47" s="25" t="s">
        <v>34</v>
      </c>
      <c r="B47" s="26">
        <v>0</v>
      </c>
      <c r="C47" s="67"/>
      <c r="D47" s="67"/>
      <c r="E47" s="60"/>
      <c r="F47" s="26"/>
      <c r="G47" s="26"/>
      <c r="H47" s="26"/>
      <c r="I47" s="26"/>
      <c r="J47" s="67"/>
      <c r="K47" s="67"/>
      <c r="L47" s="26"/>
      <c r="M47" s="67"/>
      <c r="N47" s="67"/>
      <c r="O47" s="26"/>
      <c r="P47" s="26"/>
      <c r="Q47" s="67"/>
      <c r="R47" s="67"/>
      <c r="S47" s="67">
        <v>609517929</v>
      </c>
      <c r="T47" s="26"/>
      <c r="U47" s="26"/>
      <c r="V47" s="26"/>
      <c r="W47" s="26"/>
      <c r="X47" s="67"/>
      <c r="Y47" s="26"/>
      <c r="Z47" s="67"/>
      <c r="AA47" s="67"/>
      <c r="AB47" s="67"/>
      <c r="AC47" s="26"/>
      <c r="AD47" s="26"/>
      <c r="AE47" s="26"/>
      <c r="AF47" s="26"/>
      <c r="AG47" s="26"/>
      <c r="AH47" s="23">
        <f t="shared" ref="AH47:AH56" si="3">SUM(C47:AG47)</f>
        <v>609517929</v>
      </c>
      <c r="AI47" s="17"/>
    </row>
    <row r="48" spans="1:36">
      <c r="A48" s="25" t="s">
        <v>35</v>
      </c>
      <c r="B48" s="26">
        <v>0</v>
      </c>
      <c r="C48" s="13">
        <f>977725000+382715000</f>
        <v>1360440000</v>
      </c>
      <c r="D48" s="13">
        <f>751428216+822516276</f>
        <v>1573944492</v>
      </c>
      <c r="E48" s="60"/>
      <c r="F48" s="67">
        <v>1838265868</v>
      </c>
      <c r="G48" s="67">
        <v>1775406871</v>
      </c>
      <c r="H48" s="16"/>
      <c r="I48" s="26"/>
      <c r="J48" s="13">
        <v>1265016421</v>
      </c>
      <c r="K48" s="13">
        <v>2031092359</v>
      </c>
      <c r="L48" s="67">
        <v>1262545767</v>
      </c>
      <c r="M48" s="67">
        <v>2099836509</v>
      </c>
      <c r="N48" s="67"/>
      <c r="O48" s="26"/>
      <c r="P48" s="26"/>
      <c r="Q48" s="68">
        <v>2263452560</v>
      </c>
      <c r="R48" s="67">
        <v>1988736278</v>
      </c>
      <c r="S48" s="67"/>
      <c r="T48" s="67">
        <v>798414198</v>
      </c>
      <c r="U48" s="67">
        <v>1813470083</v>
      </c>
      <c r="V48" s="26"/>
      <c r="W48" s="26"/>
      <c r="X48" s="67">
        <v>949260960</v>
      </c>
      <c r="Y48" s="67">
        <v>933041521</v>
      </c>
      <c r="Z48" s="67">
        <v>1187120780</v>
      </c>
      <c r="AA48" s="67">
        <v>1286486369</v>
      </c>
      <c r="AB48" s="67"/>
      <c r="AC48" s="26"/>
      <c r="AD48" s="42"/>
      <c r="AE48" s="26"/>
      <c r="AF48" s="26"/>
      <c r="AG48" s="26"/>
      <c r="AH48" s="23">
        <f t="shared" si="3"/>
        <v>24426531036</v>
      </c>
      <c r="AI48" s="17"/>
    </row>
    <row r="49" spans="1:35">
      <c r="A49" s="25"/>
      <c r="B49" s="26"/>
      <c r="C49" s="13"/>
      <c r="D49" s="13"/>
      <c r="E49" s="60"/>
      <c r="F49" s="67"/>
      <c r="G49" s="67"/>
      <c r="H49" s="16"/>
      <c r="I49" s="26"/>
      <c r="J49" s="13"/>
      <c r="K49" s="13"/>
      <c r="L49" s="67"/>
      <c r="M49" s="67"/>
      <c r="N49" s="67"/>
      <c r="O49" s="26"/>
      <c r="P49" s="26"/>
      <c r="Q49" s="68"/>
      <c r="R49" s="67"/>
      <c r="S49" s="67"/>
      <c r="T49" s="67">
        <v>1408391974</v>
      </c>
      <c r="U49" s="67"/>
      <c r="V49" s="26"/>
      <c r="W49" s="26"/>
      <c r="X49" s="67"/>
      <c r="Y49" s="67"/>
      <c r="Z49" s="67"/>
      <c r="AA49" s="67"/>
      <c r="AB49" s="67"/>
      <c r="AC49" s="26"/>
      <c r="AD49" s="42"/>
      <c r="AE49" s="26"/>
      <c r="AF49" s="26"/>
      <c r="AG49" s="26"/>
      <c r="AH49" s="23"/>
      <c r="AI49" s="17"/>
    </row>
    <row r="50" spans="1:35">
      <c r="A50" s="25" t="s">
        <v>36</v>
      </c>
      <c r="B50" s="26">
        <v>0</v>
      </c>
      <c r="C50" s="67"/>
      <c r="D50" s="68"/>
      <c r="E50" s="60"/>
      <c r="F50" s="67"/>
      <c r="G50" s="67"/>
      <c r="H50" s="26"/>
      <c r="I50" s="26"/>
      <c r="J50" s="67"/>
      <c r="K50" s="67"/>
      <c r="L50" s="67"/>
      <c r="M50" s="67"/>
      <c r="N50" s="67"/>
      <c r="O50" s="26"/>
      <c r="P50" s="26"/>
      <c r="Q50" s="67"/>
      <c r="R50" s="26"/>
      <c r="S50" s="67"/>
      <c r="T50" s="26"/>
      <c r="U50" s="67"/>
      <c r="V50" s="26"/>
      <c r="W50" s="26"/>
      <c r="X50" s="26"/>
      <c r="Y50" s="41"/>
      <c r="Z50" s="67"/>
      <c r="AA50" s="67"/>
      <c r="AB50" s="67"/>
      <c r="AC50" s="26"/>
      <c r="AD50" s="26"/>
      <c r="AE50" s="26"/>
      <c r="AF50" s="26"/>
      <c r="AG50" s="26"/>
      <c r="AH50" s="23">
        <f t="shared" si="3"/>
        <v>0</v>
      </c>
      <c r="AI50" s="17"/>
    </row>
    <row r="51" spans="1:35">
      <c r="A51" s="11" t="s">
        <v>53</v>
      </c>
      <c r="B51" s="26">
        <v>0</v>
      </c>
      <c r="C51" s="67">
        <v>632762428</v>
      </c>
      <c r="D51" s="65">
        <v>1244206411</v>
      </c>
      <c r="E51" s="75">
        <v>1465846328</v>
      </c>
      <c r="F51" s="67">
        <v>894355558</v>
      </c>
      <c r="G51" s="67">
        <v>837171736</v>
      </c>
      <c r="H51" s="26"/>
      <c r="I51" s="26"/>
      <c r="J51" s="67">
        <v>508295364</v>
      </c>
      <c r="K51" s="67">
        <v>728746244</v>
      </c>
      <c r="L51" s="67">
        <v>615831137</v>
      </c>
      <c r="M51" s="67">
        <v>1137888114</v>
      </c>
      <c r="N51" s="65"/>
      <c r="O51" s="41"/>
      <c r="P51" s="42"/>
      <c r="Q51" s="67">
        <v>806633282</v>
      </c>
      <c r="R51" s="67">
        <v>966008161</v>
      </c>
      <c r="S51" s="67">
        <v>627047184</v>
      </c>
      <c r="T51" s="6">
        <v>760899953</v>
      </c>
      <c r="U51" s="67">
        <v>483142006</v>
      </c>
      <c r="V51" s="26"/>
      <c r="W51" s="26"/>
      <c r="X51" s="42">
        <v>754409692</v>
      </c>
      <c r="Y51" s="67">
        <v>846937552</v>
      </c>
      <c r="Z51" s="67">
        <v>878028526</v>
      </c>
      <c r="AA51" s="67">
        <v>803468921</v>
      </c>
      <c r="AB51" s="67">
        <v>720458476</v>
      </c>
      <c r="AC51" s="26"/>
      <c r="AD51" s="26"/>
      <c r="AE51" s="26"/>
      <c r="AF51" s="26"/>
      <c r="AG51" s="26"/>
      <c r="AH51" s="23">
        <f t="shared" si="3"/>
        <v>15712137073</v>
      </c>
      <c r="AI51" s="17"/>
    </row>
    <row r="52" spans="1:35">
      <c r="A52" s="11" t="s">
        <v>54</v>
      </c>
      <c r="B52" s="26"/>
      <c r="C52" s="67"/>
      <c r="D52" s="68"/>
      <c r="F52" s="67"/>
      <c r="G52" s="67"/>
      <c r="H52" s="26"/>
      <c r="I52" s="26"/>
      <c r="J52" s="67"/>
      <c r="K52" s="67"/>
      <c r="L52" s="67"/>
      <c r="M52" s="67">
        <v>700069881</v>
      </c>
      <c r="N52" s="67"/>
      <c r="O52" s="26"/>
      <c r="P52" s="42"/>
      <c r="Q52" s="67"/>
      <c r="R52" s="67">
        <v>635481832</v>
      </c>
      <c r="S52" s="67">
        <v>671601208</v>
      </c>
      <c r="T52" s="67">
        <v>541514015</v>
      </c>
      <c r="U52" s="67"/>
      <c r="V52" s="41"/>
      <c r="W52" s="41"/>
      <c r="X52" s="41"/>
      <c r="Y52" s="67"/>
      <c r="Z52" s="65"/>
      <c r="AA52" s="67"/>
      <c r="AB52" s="67">
        <v>1653990254</v>
      </c>
      <c r="AC52" s="26"/>
      <c r="AD52" s="26"/>
      <c r="AE52" s="26"/>
      <c r="AF52" s="26"/>
      <c r="AG52" s="26"/>
      <c r="AH52" s="23"/>
      <c r="AI52" s="17"/>
    </row>
    <row r="53" spans="1:35">
      <c r="A53" s="11" t="s">
        <v>37</v>
      </c>
      <c r="B53" s="26">
        <v>0</v>
      </c>
      <c r="C53" s="65">
        <v>472791498</v>
      </c>
      <c r="D53" s="65">
        <v>532062593</v>
      </c>
      <c r="E53" s="76"/>
      <c r="F53" s="67">
        <v>426435394</v>
      </c>
      <c r="G53" s="72">
        <v>377538054</v>
      </c>
      <c r="H53" s="26"/>
      <c r="I53" s="26"/>
      <c r="J53" s="67"/>
      <c r="K53" s="67"/>
      <c r="L53" s="67"/>
      <c r="M53" s="67">
        <v>361280284</v>
      </c>
      <c r="N53" s="67"/>
      <c r="O53" s="26"/>
      <c r="P53" s="42"/>
      <c r="Q53" s="67">
        <v>437647238</v>
      </c>
      <c r="R53" s="67"/>
      <c r="S53" s="26"/>
      <c r="T53" s="67"/>
      <c r="U53" s="67"/>
      <c r="V53" s="26"/>
      <c r="W53" s="26"/>
      <c r="X53" s="42">
        <v>242855473</v>
      </c>
      <c r="Y53" s="65">
        <v>696085402</v>
      </c>
      <c r="Z53" s="67">
        <v>606534757</v>
      </c>
      <c r="AA53" s="67">
        <v>699570739</v>
      </c>
      <c r="AB53" s="65">
        <v>534719391</v>
      </c>
      <c r="AC53" s="26"/>
      <c r="AD53" s="26"/>
      <c r="AE53" s="26"/>
      <c r="AF53" s="26"/>
      <c r="AG53" s="26"/>
      <c r="AH53" s="23">
        <f>SUM(E53:AG53)</f>
        <v>4382666732</v>
      </c>
      <c r="AI53" s="17"/>
    </row>
    <row r="54" spans="1:35">
      <c r="A54" s="11" t="s">
        <v>38</v>
      </c>
      <c r="B54" s="26">
        <v>0</v>
      </c>
      <c r="C54" s="68"/>
      <c r="D54" s="68"/>
      <c r="E54" s="61"/>
      <c r="F54" s="67"/>
      <c r="G54" s="67"/>
      <c r="H54" s="26"/>
      <c r="I54" s="26"/>
      <c r="J54" s="67"/>
      <c r="K54" s="67"/>
      <c r="L54" s="67"/>
      <c r="M54" s="67"/>
      <c r="N54" s="78"/>
      <c r="O54" s="41"/>
      <c r="P54" s="54"/>
      <c r="Q54" s="78"/>
      <c r="R54" s="42"/>
      <c r="S54" s="26"/>
      <c r="U54" s="67"/>
      <c r="V54" s="41"/>
      <c r="W54" s="42"/>
      <c r="X54" s="41"/>
      <c r="Y54" s="78"/>
      <c r="Z54" s="78"/>
      <c r="AA54" s="67"/>
      <c r="AB54" s="65">
        <f>598267158+527124518</f>
        <v>1125391676</v>
      </c>
      <c r="AC54" s="26"/>
      <c r="AD54" s="26"/>
      <c r="AE54" s="26"/>
      <c r="AF54" s="26"/>
      <c r="AG54" s="26"/>
      <c r="AH54" s="23">
        <f t="shared" si="3"/>
        <v>1125391676</v>
      </c>
      <c r="AI54" s="17"/>
    </row>
    <row r="55" spans="1:35">
      <c r="A55" s="11" t="s">
        <v>39</v>
      </c>
      <c r="B55" s="26">
        <v>0</v>
      </c>
      <c r="C55" s="69">
        <v>722076485</v>
      </c>
      <c r="D55" s="65">
        <v>688559157</v>
      </c>
      <c r="E55" s="6">
        <v>716726178</v>
      </c>
      <c r="F55" s="67">
        <v>1075941584</v>
      </c>
      <c r="G55" s="67">
        <v>1077848205</v>
      </c>
      <c r="H55" s="26"/>
      <c r="I55" s="26"/>
      <c r="J55" s="67">
        <v>1065563204</v>
      </c>
      <c r="K55" s="67">
        <v>705353656</v>
      </c>
      <c r="L55" s="67">
        <v>730768253</v>
      </c>
      <c r="M55" s="67"/>
      <c r="N55" s="67"/>
      <c r="O55" s="41"/>
      <c r="P55" s="54"/>
      <c r="Q55" s="67">
        <v>149625767</v>
      </c>
      <c r="R55" s="67"/>
      <c r="S55" s="67">
        <v>929223971</v>
      </c>
      <c r="T55" s="67">
        <v>889310336</v>
      </c>
      <c r="U55" s="67">
        <v>956269970</v>
      </c>
      <c r="V55" s="26"/>
      <c r="W55" s="26"/>
      <c r="X55" s="42">
        <v>834592730</v>
      </c>
      <c r="Y55" s="65">
        <v>917990393</v>
      </c>
      <c r="Z55" s="67">
        <v>720675978</v>
      </c>
      <c r="AA55" s="67">
        <v>764079360</v>
      </c>
      <c r="AB55" s="72">
        <f>406966270+768699732</f>
        <v>1175666002</v>
      </c>
      <c r="AC55" s="26"/>
      <c r="AD55" s="26"/>
      <c r="AE55" s="26"/>
      <c r="AF55" s="26"/>
      <c r="AG55" s="26"/>
      <c r="AH55" s="23">
        <f>SUM(C55:AG55)</f>
        <v>14120271229</v>
      </c>
      <c r="AI55" s="17"/>
    </row>
    <row r="56" spans="1:35">
      <c r="A56" s="11" t="s">
        <v>40</v>
      </c>
      <c r="B56" s="26">
        <v>0</v>
      </c>
      <c r="C56" s="68"/>
      <c r="D56" s="68"/>
      <c r="E56" s="26"/>
      <c r="F56" s="67"/>
      <c r="H56" s="26"/>
      <c r="I56" s="41"/>
      <c r="J56" s="65">
        <v>1126607329</v>
      </c>
      <c r="K56" s="67"/>
      <c r="L56" s="26"/>
      <c r="M56" s="26"/>
      <c r="N56" s="26"/>
      <c r="O56" s="26"/>
      <c r="P56" s="54"/>
      <c r="Q56" s="67"/>
      <c r="R56" s="26"/>
      <c r="S56" s="26"/>
      <c r="T56" s="26"/>
      <c r="U56" s="67"/>
      <c r="V56" s="41"/>
      <c r="W56" s="41"/>
      <c r="X56" s="41"/>
      <c r="Y56" s="41"/>
      <c r="Z56" s="78"/>
      <c r="AA56" s="67"/>
      <c r="AB56" s="65">
        <f>1111714826+1097814383</f>
        <v>2209529209</v>
      </c>
      <c r="AC56" s="26"/>
      <c r="AD56" s="26"/>
      <c r="AE56" s="26"/>
      <c r="AF56" s="26"/>
      <c r="AG56" s="26"/>
      <c r="AH56" s="23">
        <f t="shared" si="3"/>
        <v>3336136538</v>
      </c>
      <c r="AI56" s="17"/>
    </row>
    <row r="57" spans="1:35">
      <c r="A57" s="27" t="s">
        <v>41</v>
      </c>
      <c r="B57" s="28"/>
      <c r="C57" s="70">
        <f t="shared" ref="C57:AH57" si="4">SUM(C47:C56)</f>
        <v>3188070411</v>
      </c>
      <c r="D57" s="70">
        <f t="shared" si="4"/>
        <v>4038772653</v>
      </c>
      <c r="E57" s="29">
        <f t="shared" si="4"/>
        <v>2182572506</v>
      </c>
      <c r="F57" s="29">
        <f t="shared" si="4"/>
        <v>4234998404</v>
      </c>
      <c r="G57" s="29">
        <f t="shared" si="4"/>
        <v>4067964866</v>
      </c>
      <c r="H57" s="29">
        <f t="shared" si="4"/>
        <v>0</v>
      </c>
      <c r="I57" s="29">
        <f>SUM(I47:I56)</f>
        <v>0</v>
      </c>
      <c r="J57" s="70">
        <f>SUM(J47:J55)</f>
        <v>2838874989</v>
      </c>
      <c r="K57" s="70">
        <f t="shared" si="4"/>
        <v>3465192259</v>
      </c>
      <c r="L57" s="29">
        <f t="shared" si="4"/>
        <v>2609145157</v>
      </c>
      <c r="M57" s="29">
        <f t="shared" si="4"/>
        <v>4299074788</v>
      </c>
      <c r="N57" s="29">
        <f t="shared" si="4"/>
        <v>0</v>
      </c>
      <c r="O57" s="29">
        <f t="shared" si="4"/>
        <v>0</v>
      </c>
      <c r="P57" s="29">
        <f t="shared" si="4"/>
        <v>0</v>
      </c>
      <c r="Q57" s="29">
        <f t="shared" si="4"/>
        <v>3657358847</v>
      </c>
      <c r="R57" s="29">
        <f t="shared" si="4"/>
        <v>3590226271</v>
      </c>
      <c r="S57" s="29">
        <f t="shared" si="4"/>
        <v>2837390292</v>
      </c>
      <c r="T57" s="29">
        <f t="shared" si="4"/>
        <v>4398530476</v>
      </c>
      <c r="U57" s="29">
        <f t="shared" si="4"/>
        <v>3252882059</v>
      </c>
      <c r="V57" s="29">
        <f t="shared" si="4"/>
        <v>0</v>
      </c>
      <c r="W57" s="29">
        <f t="shared" si="4"/>
        <v>0</v>
      </c>
      <c r="X57" s="29">
        <f>SUM(X47:X56)</f>
        <v>2781118855</v>
      </c>
      <c r="Y57" s="29">
        <f t="shared" si="4"/>
        <v>3394054868</v>
      </c>
      <c r="Z57" s="29">
        <f t="shared" si="4"/>
        <v>3392360041</v>
      </c>
      <c r="AA57" s="29">
        <f t="shared" si="4"/>
        <v>3553605389</v>
      </c>
      <c r="AB57" s="29">
        <f t="shared" si="4"/>
        <v>7419755008</v>
      </c>
      <c r="AC57" s="29">
        <f t="shared" si="4"/>
        <v>0</v>
      </c>
      <c r="AD57" s="29">
        <f t="shared" si="4"/>
        <v>0</v>
      </c>
      <c r="AE57" s="29">
        <f t="shared" si="4"/>
        <v>0</v>
      </c>
      <c r="AF57" s="29">
        <f t="shared" si="4"/>
        <v>0</v>
      </c>
      <c r="AG57" s="29">
        <f t="shared" si="4"/>
        <v>0</v>
      </c>
      <c r="AH57" s="30">
        <f t="shared" si="4"/>
        <v>63712652213</v>
      </c>
      <c r="AI57" s="6"/>
    </row>
    <row r="58" spans="1:35">
      <c r="A58" s="387" t="s">
        <v>42</v>
      </c>
      <c r="B58" s="388"/>
      <c r="C58" s="71">
        <f t="shared" ref="C58:AG58" si="5">C44+C57</f>
        <v>4069274176</v>
      </c>
      <c r="D58" s="71">
        <f t="shared" si="5"/>
        <v>4038772653</v>
      </c>
      <c r="E58" s="31">
        <f t="shared" si="5"/>
        <v>2209996102</v>
      </c>
      <c r="F58" s="31">
        <f t="shared" si="5"/>
        <v>4394389640</v>
      </c>
      <c r="G58" s="31">
        <f t="shared" si="5"/>
        <v>4283920591</v>
      </c>
      <c r="H58" s="31">
        <f t="shared" si="5"/>
        <v>0</v>
      </c>
      <c r="I58" s="31">
        <f t="shared" si="5"/>
        <v>0</v>
      </c>
      <c r="J58" s="71">
        <f t="shared" si="5"/>
        <v>3265016540</v>
      </c>
      <c r="K58" s="71">
        <f t="shared" si="5"/>
        <v>3465192259</v>
      </c>
      <c r="L58" s="31">
        <f t="shared" si="5"/>
        <v>2609145157</v>
      </c>
      <c r="M58" s="31">
        <f t="shared" si="5"/>
        <v>5681002785</v>
      </c>
      <c r="N58" s="31">
        <f t="shared" si="5"/>
        <v>0</v>
      </c>
      <c r="O58" s="31">
        <f t="shared" si="5"/>
        <v>0</v>
      </c>
      <c r="P58" s="31">
        <f t="shared" si="5"/>
        <v>0</v>
      </c>
      <c r="Q58" s="31">
        <f t="shared" si="5"/>
        <v>4510397707</v>
      </c>
      <c r="R58" s="31">
        <f t="shared" si="5"/>
        <v>3736629186</v>
      </c>
      <c r="S58" s="31">
        <f t="shared" si="5"/>
        <v>3243831892</v>
      </c>
      <c r="T58" s="31">
        <f t="shared" si="5"/>
        <v>4412756681</v>
      </c>
      <c r="U58" s="31">
        <f t="shared" si="5"/>
        <v>6135764636</v>
      </c>
      <c r="V58" s="31">
        <f t="shared" si="5"/>
        <v>0</v>
      </c>
      <c r="W58" s="31">
        <f t="shared" si="5"/>
        <v>0</v>
      </c>
      <c r="X58" s="31">
        <f t="shared" si="5"/>
        <v>3215010525</v>
      </c>
      <c r="Y58" s="31">
        <f t="shared" si="5"/>
        <v>3394610852</v>
      </c>
      <c r="Z58" s="31">
        <f t="shared" si="5"/>
        <v>3392360041</v>
      </c>
      <c r="AA58" s="31">
        <f t="shared" si="5"/>
        <v>3626634389</v>
      </c>
      <c r="AB58" s="31">
        <f t="shared" si="5"/>
        <v>8584805284</v>
      </c>
      <c r="AC58" s="31">
        <f t="shared" si="5"/>
        <v>0</v>
      </c>
      <c r="AD58" s="31">
        <f t="shared" si="5"/>
        <v>0</v>
      </c>
      <c r="AE58" s="31">
        <f t="shared" si="5"/>
        <v>0</v>
      </c>
      <c r="AF58" s="31">
        <f t="shared" si="5"/>
        <v>0</v>
      </c>
      <c r="AG58" s="31">
        <f t="shared" si="5"/>
        <v>0</v>
      </c>
      <c r="AH58" s="31">
        <f>SUM(C58:AG58)</f>
        <v>78269511096</v>
      </c>
    </row>
    <row r="60" spans="1:35">
      <c r="C60" s="72"/>
      <c r="D60" s="72">
        <v>10463347708</v>
      </c>
      <c r="E60" s="6">
        <v>9177235252</v>
      </c>
      <c r="F60" s="6">
        <v>9804259816</v>
      </c>
      <c r="G60" s="6">
        <v>8047569014</v>
      </c>
      <c r="H60" s="6" t="s">
        <v>107</v>
      </c>
      <c r="J60" s="6">
        <v>10924701374</v>
      </c>
      <c r="K60" s="72">
        <v>11546761975</v>
      </c>
      <c r="L60" s="6">
        <v>11304126545</v>
      </c>
      <c r="M60" s="6">
        <v>12085633100</v>
      </c>
      <c r="N60" s="6"/>
      <c r="O60" s="6"/>
      <c r="P60" s="6"/>
      <c r="Q60" s="6">
        <v>14351514804</v>
      </c>
      <c r="R60" s="6">
        <v>13549097740</v>
      </c>
      <c r="S60" s="6">
        <v>13727996334</v>
      </c>
      <c r="T60" s="6">
        <v>13186185929</v>
      </c>
      <c r="U60" s="6">
        <v>11834779332</v>
      </c>
      <c r="V60" s="6"/>
      <c r="W60" s="6"/>
      <c r="X60" s="6">
        <v>10771441109</v>
      </c>
      <c r="Y60" s="6">
        <v>14137585335</v>
      </c>
      <c r="Z60" s="6">
        <v>13317084842</v>
      </c>
      <c r="AA60" s="6">
        <v>13057077531</v>
      </c>
      <c r="AB60" s="6">
        <v>13045825124</v>
      </c>
      <c r="AD60" s="6"/>
      <c r="AF60" s="6"/>
    </row>
    <row r="61" spans="1:35">
      <c r="C61" s="72"/>
      <c r="D61" s="74"/>
      <c r="E61" s="43"/>
      <c r="F61" s="43"/>
      <c r="G61" s="43"/>
      <c r="H61" s="43"/>
      <c r="I61" s="43"/>
      <c r="J61" s="80"/>
      <c r="K61" s="80"/>
      <c r="M61" s="43"/>
      <c r="N61" s="40"/>
      <c r="O61" s="40"/>
      <c r="P61" s="40"/>
      <c r="Q61" s="40"/>
      <c r="R61" s="43"/>
      <c r="S61" s="6"/>
      <c r="T61" s="6"/>
      <c r="U61" s="40"/>
      <c r="V61" s="40"/>
      <c r="W61" s="43"/>
      <c r="X61" s="40"/>
      <c r="Y61" s="40"/>
      <c r="Z61" s="6"/>
      <c r="AA61" s="6"/>
      <c r="AB61" s="40"/>
      <c r="AD61" s="40"/>
      <c r="AF61" s="6"/>
    </row>
    <row r="62" spans="1:35">
      <c r="C62" s="72"/>
      <c r="R62" s="6"/>
      <c r="T62" s="6"/>
      <c r="AA62" s="6"/>
      <c r="AF62" s="6"/>
    </row>
    <row r="67" spans="3:25">
      <c r="C67" s="3"/>
      <c r="D67" s="3"/>
    </row>
    <row r="69" spans="3:25" ht="15">
      <c r="C69" s="3"/>
      <c r="D69" s="3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/>
      <c r="X69"/>
      <c r="Y69"/>
    </row>
    <row r="70" spans="3:25" ht="15">
      <c r="C70" s="3"/>
      <c r="D70" s="3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/>
      <c r="X70"/>
      <c r="Y70"/>
    </row>
    <row r="71" spans="3:25" ht="15">
      <c r="C71" s="3"/>
      <c r="D71" s="3"/>
      <c r="M71" s="45"/>
      <c r="N71" s="45"/>
      <c r="O71" s="45"/>
      <c r="P71" s="45"/>
      <c r="Q71" s="45" t="s">
        <v>108</v>
      </c>
      <c r="R71" s="45"/>
      <c r="S71" s="45"/>
      <c r="T71" s="45"/>
      <c r="U71" s="45"/>
      <c r="V71" s="45"/>
      <c r="W71"/>
      <c r="X71"/>
      <c r="Y71"/>
    </row>
    <row r="72" spans="3:25" ht="15">
      <c r="C72" s="3"/>
      <c r="D72" s="3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/>
      <c r="X72"/>
      <c r="Y72"/>
    </row>
    <row r="73" spans="3:25" ht="15">
      <c r="C73" s="3"/>
      <c r="D73" s="3"/>
      <c r="M73" s="45"/>
      <c r="N73" s="45"/>
      <c r="O73" s="45"/>
      <c r="P73" s="45"/>
      <c r="Q73" s="45"/>
      <c r="R73" s="45"/>
      <c r="S73" s="45"/>
      <c r="T73" s="45"/>
      <c r="U73" s="45"/>
      <c r="V73" s="45" t="s">
        <v>95</v>
      </c>
      <c r="W73"/>
      <c r="X73"/>
      <c r="Y73"/>
    </row>
    <row r="74" spans="3:25" ht="15">
      <c r="C74" s="3"/>
      <c r="D74" s="3"/>
      <c r="M74" s="45"/>
      <c r="N74" s="45"/>
      <c r="O74" s="45"/>
      <c r="P74" s="45"/>
      <c r="Q74" s="45"/>
      <c r="R74" s="45"/>
      <c r="S74" s="45"/>
      <c r="T74" s="45"/>
      <c r="U74" s="45"/>
      <c r="V74" s="45" t="s">
        <v>96</v>
      </c>
      <c r="W74"/>
      <c r="X74">
        <v>2</v>
      </c>
      <c r="Y74"/>
    </row>
    <row r="75" spans="3:25" ht="15">
      <c r="C75" s="3"/>
      <c r="D75" s="3"/>
      <c r="M75" s="45" t="s">
        <v>97</v>
      </c>
      <c r="N75" s="45"/>
      <c r="O75" s="45"/>
      <c r="P75" s="45"/>
      <c r="Q75" s="45"/>
      <c r="R75" s="45"/>
      <c r="S75" s="45"/>
      <c r="T75" s="45"/>
      <c r="U75" s="45"/>
      <c r="V75" s="45" t="s">
        <v>98</v>
      </c>
      <c r="W75"/>
      <c r="X75">
        <v>2</v>
      </c>
      <c r="Y75"/>
    </row>
    <row r="76" spans="3:25" ht="15">
      <c r="C76" s="3"/>
      <c r="D76" s="3"/>
      <c r="M76" s="45"/>
      <c r="N76" s="45"/>
      <c r="O76" s="45"/>
      <c r="P76" s="45"/>
      <c r="Q76" s="45"/>
      <c r="R76" s="45"/>
      <c r="S76" s="45"/>
      <c r="T76" s="45"/>
      <c r="U76" s="45"/>
      <c r="V76" s="45" t="s">
        <v>99</v>
      </c>
      <c r="W76"/>
      <c r="X76">
        <v>10</v>
      </c>
      <c r="Y76"/>
    </row>
    <row r="77" spans="3:25" ht="15">
      <c r="C77" s="3"/>
      <c r="D77" s="3"/>
      <c r="M77"/>
      <c r="N77"/>
      <c r="O77" s="46"/>
      <c r="P77" s="46"/>
      <c r="Q77" s="46"/>
      <c r="R77" s="46"/>
      <c r="S77" s="46"/>
      <c r="T77" s="46"/>
      <c r="U77" s="46"/>
      <c r="V77" s="47" t="s">
        <v>100</v>
      </c>
      <c r="W77" s="46" t="s">
        <v>101</v>
      </c>
      <c r="X77"/>
      <c r="Y77"/>
    </row>
    <row r="78" spans="3:25" ht="15">
      <c r="C78" s="3"/>
      <c r="D78" s="3"/>
      <c r="M78"/>
      <c r="N78"/>
      <c r="O78" s="46"/>
      <c r="P78" s="46"/>
      <c r="Q78" s="46"/>
      <c r="R78" s="46"/>
      <c r="S78" s="46"/>
      <c r="T78" s="46"/>
      <c r="U78" s="46"/>
      <c r="V78" s="47"/>
      <c r="W78" s="46"/>
      <c r="X78"/>
      <c r="Y78"/>
    </row>
    <row r="79" spans="3:25" ht="15">
      <c r="C79" s="3"/>
      <c r="D79" s="3"/>
      <c r="M79"/>
      <c r="N79"/>
      <c r="O79" s="46"/>
      <c r="P79" s="46"/>
      <c r="Q79" s="46"/>
      <c r="R79" s="46"/>
      <c r="S79" s="46"/>
      <c r="T79" s="46"/>
      <c r="U79" s="46"/>
      <c r="V79" s="46"/>
      <c r="W79" s="46"/>
      <c r="X79"/>
      <c r="Y79"/>
    </row>
  </sheetData>
  <mergeCells count="2">
    <mergeCell ref="C4:AG4"/>
    <mergeCell ref="A58:B58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81"/>
  <sheetViews>
    <sheetView workbookViewId="0">
      <pane xSplit="1" topLeftCell="AA1" activePane="topRight" state="frozen"/>
      <selection activeCell="A22" sqref="A22"/>
      <selection pane="topRight" activeCell="AE38" sqref="AE38"/>
    </sheetView>
  </sheetViews>
  <sheetFormatPr defaultRowHeight="12.75"/>
  <cols>
    <col min="1" max="1" width="23.140625" style="3" customWidth="1"/>
    <col min="2" max="2" width="10.28515625" style="3" customWidth="1"/>
    <col min="3" max="3" width="18" style="64" customWidth="1"/>
    <col min="4" max="4" width="16.140625" style="64" customWidth="1"/>
    <col min="5" max="5" width="16.140625" style="3" customWidth="1"/>
    <col min="6" max="6" width="17.140625" style="3" customWidth="1"/>
    <col min="7" max="7" width="17.5703125" style="3" customWidth="1"/>
    <col min="8" max="8" width="17" style="3" customWidth="1"/>
    <col min="9" max="9" width="17.42578125" style="3" customWidth="1"/>
    <col min="10" max="10" width="17.5703125" style="64" customWidth="1"/>
    <col min="11" max="11" width="17.140625" style="64" customWidth="1"/>
    <col min="12" max="12" width="16.5703125" style="3" customWidth="1"/>
    <col min="13" max="14" width="17.5703125" style="3" customWidth="1"/>
    <col min="15" max="15" width="18.28515625" style="3" customWidth="1"/>
    <col min="16" max="16" width="16" style="3" customWidth="1"/>
    <col min="17" max="17" width="18.7109375" style="3" customWidth="1"/>
    <col min="18" max="18" width="17.28515625" style="3" customWidth="1"/>
    <col min="19" max="19" width="17.140625" style="3" customWidth="1"/>
    <col min="20" max="20" width="18.28515625" style="3" customWidth="1"/>
    <col min="21" max="22" width="15.28515625" style="3" customWidth="1"/>
    <col min="23" max="23" width="16.5703125" style="3" customWidth="1"/>
    <col min="24" max="24" width="17" style="3" customWidth="1"/>
    <col min="25" max="25" width="16" style="3" customWidth="1"/>
    <col min="26" max="26" width="15.28515625" style="3" customWidth="1"/>
    <col min="27" max="27" width="17" style="3" customWidth="1"/>
    <col min="28" max="28" width="15.5703125" style="3" customWidth="1"/>
    <col min="29" max="29" width="16.140625" style="3" customWidth="1"/>
    <col min="30" max="30" width="15.85546875" style="3" customWidth="1"/>
    <col min="31" max="31" width="16.28515625" style="3" customWidth="1"/>
    <col min="32" max="32" width="14.85546875" style="3" customWidth="1"/>
    <col min="33" max="33" width="15" style="3" customWidth="1"/>
    <col min="34" max="34" width="17.42578125" style="3" customWidth="1"/>
    <col min="35" max="35" width="13" style="3" customWidth="1"/>
    <col min="36" max="36" width="12.85546875" style="3" customWidth="1"/>
    <col min="37" max="37" width="11.28515625" style="3" bestFit="1" customWidth="1"/>
    <col min="38" max="16384" width="9.140625" style="3"/>
  </cols>
  <sheetData>
    <row r="1" spans="1:35">
      <c r="A1" s="1" t="s">
        <v>0</v>
      </c>
      <c r="B1" s="2"/>
      <c r="C1" s="62"/>
      <c r="D1" s="62"/>
      <c r="E1" s="2"/>
      <c r="F1" s="2"/>
      <c r="G1" s="2"/>
      <c r="H1" s="2"/>
      <c r="I1" s="2"/>
      <c r="J1" s="62"/>
      <c r="K1" s="6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s="6" customFormat="1">
      <c r="A2" s="4" t="s">
        <v>1</v>
      </c>
      <c r="B2" s="5"/>
      <c r="C2" s="63"/>
      <c r="D2" s="63"/>
      <c r="E2" s="5"/>
      <c r="F2" s="5"/>
      <c r="G2" s="5"/>
      <c r="H2" s="5"/>
      <c r="I2" s="5"/>
      <c r="J2" s="63"/>
      <c r="K2" s="63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>
      <c r="A3" s="7" t="s">
        <v>2</v>
      </c>
      <c r="B3" s="8">
        <v>44256</v>
      </c>
      <c r="C3" s="63"/>
      <c r="D3" s="63"/>
      <c r="E3" s="5"/>
      <c r="F3" s="5"/>
      <c r="G3" s="5"/>
      <c r="H3" s="5"/>
      <c r="I3" s="5"/>
      <c r="J3" s="63"/>
      <c r="K3" s="63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>
      <c r="A4" s="34" t="s">
        <v>3</v>
      </c>
      <c r="B4" s="35" t="s">
        <v>4</v>
      </c>
      <c r="C4" s="384" t="s">
        <v>5</v>
      </c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6"/>
      <c r="AH4" s="36" t="s">
        <v>6</v>
      </c>
      <c r="AI4" s="6"/>
    </row>
    <row r="5" spans="1:35">
      <c r="A5" s="34"/>
      <c r="B5" s="35"/>
      <c r="C5" s="37">
        <v>61</v>
      </c>
      <c r="D5" s="37">
        <v>62</v>
      </c>
      <c r="E5" s="37">
        <v>63</v>
      </c>
      <c r="F5" s="37">
        <v>64</v>
      </c>
      <c r="G5" s="37">
        <v>65</v>
      </c>
      <c r="H5" s="37">
        <v>66</v>
      </c>
      <c r="I5" s="37">
        <v>67</v>
      </c>
      <c r="J5" s="37">
        <v>68</v>
      </c>
      <c r="K5" s="37">
        <v>69</v>
      </c>
      <c r="L5" s="37">
        <v>70</v>
      </c>
      <c r="M5" s="37">
        <v>71</v>
      </c>
      <c r="N5" s="37">
        <v>72</v>
      </c>
      <c r="O5" s="37">
        <v>73</v>
      </c>
      <c r="P5" s="37">
        <v>74</v>
      </c>
      <c r="Q5" s="37">
        <v>75</v>
      </c>
      <c r="R5" s="37">
        <v>76</v>
      </c>
      <c r="S5" s="37">
        <v>77</v>
      </c>
      <c r="T5" s="37">
        <v>78</v>
      </c>
      <c r="U5" s="37">
        <v>79</v>
      </c>
      <c r="V5" s="37">
        <v>80</v>
      </c>
      <c r="W5" s="37">
        <v>81</v>
      </c>
      <c r="X5" s="37">
        <v>82</v>
      </c>
      <c r="Y5" s="37">
        <v>83</v>
      </c>
      <c r="Z5" s="37">
        <v>84</v>
      </c>
      <c r="AA5" s="37">
        <v>85</v>
      </c>
      <c r="AB5" s="37">
        <v>86</v>
      </c>
      <c r="AC5" s="37">
        <v>87</v>
      </c>
      <c r="AD5" s="37">
        <v>88</v>
      </c>
      <c r="AE5" s="37">
        <v>89</v>
      </c>
      <c r="AF5" s="37">
        <v>90</v>
      </c>
      <c r="AG5" s="37">
        <v>91</v>
      </c>
      <c r="AH5" s="36"/>
      <c r="AI5" s="6"/>
    </row>
    <row r="6" spans="1:35">
      <c r="A6" s="10" t="s">
        <v>7</v>
      </c>
      <c r="B6" s="11"/>
      <c r="C6" s="13"/>
      <c r="D6" s="13"/>
      <c r="E6" s="14"/>
      <c r="F6" s="14"/>
      <c r="G6" s="14"/>
      <c r="H6" s="14"/>
      <c r="I6" s="14"/>
      <c r="J6" s="13"/>
      <c r="K6" s="13"/>
      <c r="L6" s="14"/>
      <c r="M6" s="14"/>
      <c r="N6" s="14"/>
      <c r="O6" s="13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2"/>
      <c r="AI6" s="6"/>
    </row>
    <row r="7" spans="1:35">
      <c r="A7" s="15" t="s">
        <v>48</v>
      </c>
      <c r="B7" s="11"/>
      <c r="C7" s="13"/>
      <c r="D7" s="73">
        <v>944246160</v>
      </c>
      <c r="E7" s="48"/>
      <c r="F7" s="48"/>
      <c r="G7" s="48"/>
      <c r="H7" s="49"/>
      <c r="I7" s="48"/>
      <c r="J7" s="73"/>
      <c r="K7" s="73"/>
      <c r="L7" s="48"/>
      <c r="M7" s="48"/>
      <c r="N7" s="87"/>
      <c r="O7" s="50"/>
      <c r="P7" s="48"/>
      <c r="Q7" s="48"/>
      <c r="R7" s="48"/>
      <c r="S7" s="49"/>
      <c r="T7" s="73">
        <v>947489400</v>
      </c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14">
        <f>SUM(C7:AG7)</f>
        <v>1891735560</v>
      </c>
      <c r="AI7" s="17"/>
    </row>
    <row r="8" spans="1:35">
      <c r="A8" s="15" t="s">
        <v>49</v>
      </c>
      <c r="B8" s="11"/>
      <c r="C8" s="13"/>
      <c r="D8" s="73"/>
      <c r="E8" s="48"/>
      <c r="F8" s="48"/>
      <c r="G8" s="48"/>
      <c r="H8" s="48"/>
      <c r="I8" s="48"/>
      <c r="J8" s="73"/>
      <c r="K8" s="73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14">
        <f>SUM(C8:AG8)</f>
        <v>0</v>
      </c>
      <c r="AI8" s="17"/>
    </row>
    <row r="9" spans="1:35">
      <c r="A9" s="15" t="s">
        <v>8</v>
      </c>
      <c r="B9" s="11"/>
      <c r="C9" s="89"/>
      <c r="D9" s="73"/>
      <c r="E9" s="48"/>
      <c r="F9" s="73"/>
      <c r="G9" s="48"/>
      <c r="H9" s="48"/>
      <c r="I9" s="48"/>
      <c r="J9" s="84"/>
      <c r="K9" s="73"/>
      <c r="L9" s="73">
        <f>147583530+15322452</f>
        <v>162905982</v>
      </c>
      <c r="M9" s="48"/>
      <c r="N9" s="50"/>
      <c r="O9" s="48"/>
      <c r="P9" s="48"/>
      <c r="Q9" s="48"/>
      <c r="R9" s="73">
        <f>112875459+45541641+64895094</f>
        <v>223312194</v>
      </c>
      <c r="S9" s="48"/>
      <c r="T9" s="48"/>
      <c r="U9" s="73"/>
      <c r="V9" s="48"/>
      <c r="W9" s="48"/>
      <c r="X9" s="48"/>
      <c r="Y9" s="48"/>
      <c r="Z9" s="48"/>
      <c r="AA9" s="48"/>
      <c r="AB9" s="48"/>
      <c r="AC9" s="48"/>
      <c r="AD9" s="48"/>
      <c r="AE9" s="73">
        <f>99145282+31546225</f>
        <v>130691507</v>
      </c>
      <c r="AF9" s="48"/>
      <c r="AG9" s="48"/>
      <c r="AH9" s="14">
        <f>SUM(C9:AG9)</f>
        <v>516909683</v>
      </c>
      <c r="AI9" s="17"/>
    </row>
    <row r="10" spans="1:35">
      <c r="A10" s="15" t="s">
        <v>9</v>
      </c>
      <c r="B10" s="11"/>
      <c r="C10" s="89"/>
      <c r="D10" s="73"/>
      <c r="E10" s="48"/>
      <c r="F10" s="48"/>
      <c r="G10" s="48"/>
      <c r="H10" s="48"/>
      <c r="I10" s="48"/>
      <c r="J10" s="84"/>
      <c r="K10" s="73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14">
        <f>SUM(C10:AG10)</f>
        <v>0</v>
      </c>
      <c r="AI10" s="17"/>
    </row>
    <row r="11" spans="1:35">
      <c r="A11" s="15" t="s">
        <v>10</v>
      </c>
      <c r="B11" s="11"/>
      <c r="D11" s="78"/>
      <c r="E11" s="48"/>
      <c r="F11" s="41"/>
      <c r="G11" s="41"/>
      <c r="H11" s="48"/>
      <c r="I11" s="48"/>
      <c r="K11" s="78"/>
      <c r="M11" s="73"/>
      <c r="N11" s="49"/>
      <c r="O11" s="50"/>
      <c r="P11" s="48"/>
      <c r="Q11" s="48"/>
      <c r="R11" s="48"/>
      <c r="S11" s="48"/>
      <c r="U11" s="48"/>
      <c r="V11" s="48"/>
      <c r="W11" s="48"/>
      <c r="X11" s="48"/>
      <c r="Y11" s="48"/>
      <c r="Z11" s="48"/>
      <c r="AA11" s="48"/>
      <c r="AC11" s="48"/>
      <c r="AD11" s="48"/>
      <c r="AE11" s="48"/>
      <c r="AF11" s="48"/>
      <c r="AG11" s="48"/>
      <c r="AH11" s="14">
        <f>SUM(E11:AG11)</f>
        <v>0</v>
      </c>
      <c r="AI11" s="17"/>
    </row>
    <row r="12" spans="1:35">
      <c r="A12" s="15" t="s">
        <v>11</v>
      </c>
      <c r="B12" s="11"/>
      <c r="C12" s="89"/>
      <c r="D12" s="73"/>
      <c r="E12" s="48"/>
      <c r="F12" s="48"/>
      <c r="G12" s="48"/>
      <c r="H12" s="48"/>
      <c r="I12" s="48"/>
      <c r="J12" s="84"/>
      <c r="K12" s="73"/>
      <c r="L12" s="79"/>
      <c r="M12" s="48"/>
      <c r="N12" s="48"/>
      <c r="O12" s="48"/>
      <c r="P12" s="48"/>
      <c r="Q12" s="48"/>
      <c r="R12" s="48"/>
      <c r="S12" s="48"/>
      <c r="T12" s="73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14">
        <f>SUM(C12:AG12)</f>
        <v>0</v>
      </c>
      <c r="AI12" s="17"/>
    </row>
    <row r="13" spans="1:35">
      <c r="A13" s="18" t="s">
        <v>12</v>
      </c>
      <c r="B13" s="11"/>
      <c r="C13" s="89"/>
      <c r="D13" s="73"/>
      <c r="E13" s="48"/>
      <c r="F13" s="48"/>
      <c r="G13" s="48"/>
      <c r="H13" s="48"/>
      <c r="I13" s="48"/>
      <c r="J13" s="84"/>
      <c r="K13" s="73"/>
      <c r="L13" s="79"/>
      <c r="M13" s="48"/>
      <c r="N13" s="48"/>
      <c r="O13" s="48"/>
      <c r="P13" s="48"/>
      <c r="Q13" s="48"/>
      <c r="R13" s="48"/>
      <c r="S13" s="48"/>
      <c r="T13" s="73"/>
      <c r="U13" s="48"/>
      <c r="V13" s="48"/>
      <c r="W13" s="48"/>
      <c r="X13" s="48"/>
      <c r="Y13" s="48"/>
      <c r="Z13" s="48"/>
      <c r="AA13" s="48"/>
      <c r="AB13" s="57"/>
      <c r="AC13" s="48"/>
      <c r="AD13" s="48"/>
      <c r="AE13" s="48"/>
      <c r="AF13" s="48"/>
      <c r="AG13" s="48"/>
      <c r="AH13" s="14">
        <f>SUM(C13:AG13)</f>
        <v>0</v>
      </c>
      <c r="AI13" s="17"/>
    </row>
    <row r="14" spans="1:35">
      <c r="A14" s="18" t="s">
        <v>13</v>
      </c>
      <c r="B14" s="11"/>
      <c r="C14" s="13"/>
      <c r="D14" s="73"/>
      <c r="E14" s="48"/>
      <c r="F14" s="48"/>
      <c r="G14" s="48"/>
      <c r="H14" s="48"/>
      <c r="I14" s="48"/>
      <c r="J14" s="73"/>
      <c r="K14" s="73"/>
      <c r="L14" s="48"/>
      <c r="M14" s="48"/>
      <c r="N14" s="48"/>
      <c r="O14" s="48"/>
      <c r="P14" s="48"/>
      <c r="Q14" s="48"/>
      <c r="R14" s="48"/>
      <c r="S14" s="48"/>
      <c r="T14" s="73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14">
        <f>SUM(C14:AG14)</f>
        <v>0</v>
      </c>
      <c r="AI14" s="17"/>
    </row>
    <row r="15" spans="1:35">
      <c r="A15" s="18" t="s">
        <v>14</v>
      </c>
      <c r="B15" s="11"/>
      <c r="C15" s="13"/>
      <c r="D15" s="73"/>
      <c r="E15" s="48"/>
      <c r="F15" s="48"/>
      <c r="G15" s="48"/>
      <c r="H15" s="48"/>
      <c r="I15" s="48"/>
      <c r="J15" s="73"/>
      <c r="K15" s="73"/>
      <c r="L15" s="48"/>
      <c r="M15" s="48"/>
      <c r="N15" s="48"/>
      <c r="O15" s="48"/>
      <c r="P15" s="48"/>
      <c r="Q15" s="48"/>
      <c r="R15" s="79"/>
      <c r="S15" s="48"/>
      <c r="T15" s="73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14">
        <f>SUM(C15:AG15)</f>
        <v>0</v>
      </c>
      <c r="AI15" s="17"/>
    </row>
    <row r="16" spans="1:35">
      <c r="A16" s="15" t="s">
        <v>15</v>
      </c>
      <c r="B16" s="11"/>
      <c r="C16" s="13"/>
      <c r="D16" s="73"/>
      <c r="E16" s="48"/>
      <c r="F16" s="48"/>
      <c r="G16" s="41"/>
      <c r="H16" s="42"/>
      <c r="I16" s="48"/>
      <c r="J16" s="78"/>
      <c r="K16" s="78"/>
      <c r="L16" s="41"/>
      <c r="M16" s="41"/>
      <c r="N16" s="41"/>
      <c r="O16" s="48"/>
      <c r="P16" s="48"/>
      <c r="Q16" s="73">
        <v>611582400</v>
      </c>
      <c r="R16" s="79"/>
      <c r="S16" s="48"/>
      <c r="T16" s="73"/>
      <c r="U16" s="48"/>
      <c r="V16" s="48"/>
      <c r="W16" s="48"/>
      <c r="X16" s="41"/>
      <c r="Y16" s="42">
        <v>950392872</v>
      </c>
      <c r="Z16" s="48"/>
      <c r="AA16" s="48"/>
      <c r="AB16" s="98">
        <f>56905200+103554000</f>
        <v>160459200</v>
      </c>
      <c r="AC16" s="48"/>
      <c r="AD16" s="48"/>
      <c r="AE16" s="73">
        <v>180501750</v>
      </c>
      <c r="AF16" s="48"/>
      <c r="AG16" s="48"/>
      <c r="AH16" s="14">
        <f>SUM(C16:AG16)</f>
        <v>1902936222</v>
      </c>
      <c r="AI16" s="17"/>
    </row>
    <row r="17" spans="1:37">
      <c r="A17" s="15" t="s">
        <v>16</v>
      </c>
      <c r="B17" s="11"/>
      <c r="C17" s="78"/>
      <c r="D17" s="13">
        <v>211677294</v>
      </c>
      <c r="E17" s="41"/>
      <c r="F17" s="41"/>
      <c r="G17" s="65"/>
      <c r="H17" s="50"/>
      <c r="I17" s="50"/>
      <c r="J17" s="78"/>
      <c r="K17" s="78"/>
      <c r="L17" s="41"/>
      <c r="M17" s="41"/>
      <c r="N17" s="41"/>
      <c r="O17" s="41"/>
      <c r="P17" s="48"/>
      <c r="Q17" s="65">
        <f>92115641+47537099+77811564</f>
        <v>217464304</v>
      </c>
      <c r="R17" s="88"/>
      <c r="S17" s="13"/>
      <c r="T17" s="84"/>
      <c r="U17" s="41"/>
      <c r="V17" s="57"/>
      <c r="W17" s="48"/>
      <c r="X17" s="73">
        <f>37171561+59108149</f>
        <v>96279710</v>
      </c>
      <c r="Y17" s="48"/>
      <c r="Z17" s="48"/>
      <c r="AA17" s="48"/>
      <c r="AB17" s="41"/>
      <c r="AC17" s="48"/>
      <c r="AD17" s="48"/>
      <c r="AE17" s="48"/>
      <c r="AF17" s="48"/>
      <c r="AG17" s="48"/>
      <c r="AH17" s="14">
        <f>SUM(H17:AG17)</f>
        <v>313744014</v>
      </c>
      <c r="AI17" s="17"/>
    </row>
    <row r="18" spans="1:37">
      <c r="A18" s="15"/>
      <c r="B18" s="11"/>
      <c r="C18" s="78"/>
      <c r="D18" s="78"/>
      <c r="E18" s="41"/>
      <c r="F18" s="41"/>
      <c r="G18" s="65">
        <v>221483672</v>
      </c>
      <c r="H18" s="50"/>
      <c r="I18" s="50"/>
      <c r="J18" s="78"/>
      <c r="K18" s="78"/>
      <c r="L18" s="41"/>
      <c r="M18" s="41"/>
      <c r="N18" s="41"/>
      <c r="O18" s="41"/>
      <c r="P18" s="48"/>
      <c r="Q18" s="41"/>
      <c r="R18" s="88"/>
      <c r="S18" s="41"/>
      <c r="T18" s="88"/>
      <c r="U18" s="41"/>
      <c r="V18" s="57"/>
      <c r="W18" s="48"/>
      <c r="X18" s="41"/>
      <c r="Y18" s="41"/>
      <c r="Z18" s="41"/>
      <c r="AA18" s="41"/>
      <c r="AB18" s="41"/>
      <c r="AC18" s="48"/>
      <c r="AD18" s="48"/>
      <c r="AE18" s="48"/>
      <c r="AF18" s="48"/>
      <c r="AG18" s="48"/>
      <c r="AH18" s="14"/>
      <c r="AI18" s="17"/>
    </row>
    <row r="19" spans="1:37">
      <c r="A19" s="15" t="s">
        <v>17</v>
      </c>
      <c r="B19" s="11"/>
      <c r="C19" s="13"/>
      <c r="D19" s="73"/>
      <c r="E19" s="48"/>
      <c r="F19" s="48"/>
      <c r="G19" s="50"/>
      <c r="H19" s="48"/>
      <c r="I19" s="48"/>
      <c r="J19" s="73"/>
      <c r="K19" s="73"/>
      <c r="L19" s="41"/>
      <c r="M19" s="41"/>
      <c r="N19" s="41"/>
      <c r="O19" s="48"/>
      <c r="P19" s="48"/>
      <c r="Q19" s="73">
        <f>212798000+48725000</f>
        <v>261523000</v>
      </c>
      <c r="R19" s="79"/>
      <c r="S19" s="48"/>
      <c r="T19" s="84"/>
      <c r="U19" s="48"/>
      <c r="V19" s="57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14">
        <f t="shared" ref="AH19:AH27" si="0">SUM(C19:AG19)</f>
        <v>261523000</v>
      </c>
      <c r="AI19" s="17"/>
    </row>
    <row r="20" spans="1:37">
      <c r="A20" s="15" t="s">
        <v>18</v>
      </c>
      <c r="B20" s="11"/>
      <c r="C20" s="13"/>
      <c r="D20" s="73"/>
      <c r="E20" s="48"/>
      <c r="F20" s="48"/>
      <c r="G20" s="48"/>
      <c r="H20" s="48"/>
      <c r="I20" s="48"/>
      <c r="J20" s="73"/>
      <c r="K20" s="73"/>
      <c r="L20" s="41"/>
      <c r="M20" s="48"/>
      <c r="N20" s="48"/>
      <c r="O20" s="48"/>
      <c r="P20" s="48"/>
      <c r="Q20" s="48"/>
      <c r="R20" s="48"/>
      <c r="S20" s="48"/>
      <c r="T20" s="84"/>
      <c r="U20" s="48"/>
      <c r="V20" s="57"/>
      <c r="W20" s="41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14">
        <f t="shared" si="0"/>
        <v>0</v>
      </c>
      <c r="AI20" s="17"/>
    </row>
    <row r="21" spans="1:37" ht="15">
      <c r="A21" s="15" t="s">
        <v>19</v>
      </c>
      <c r="B21" s="11"/>
      <c r="C21" s="13"/>
      <c r="D21" s="73"/>
      <c r="E21" s="48"/>
      <c r="F21" s="41"/>
      <c r="G21" s="41"/>
      <c r="H21" s="48"/>
      <c r="I21" s="51"/>
      <c r="J21" s="78"/>
      <c r="K21" s="65">
        <v>270000000</v>
      </c>
      <c r="L21" s="41"/>
      <c r="M21" s="41"/>
      <c r="N21" s="50"/>
      <c r="O21" s="41"/>
      <c r="P21" s="48"/>
      <c r="Q21" s="41"/>
      <c r="R21" s="41"/>
      <c r="S21" s="73"/>
      <c r="T21" s="84"/>
      <c r="U21" s="48"/>
      <c r="V21" s="57"/>
      <c r="W21" s="48"/>
      <c r="X21" s="73"/>
      <c r="Y21" s="48"/>
      <c r="Z21" s="48"/>
      <c r="AA21" s="48"/>
      <c r="AB21" s="73"/>
      <c r="AC21" s="48"/>
      <c r="AD21" s="48"/>
      <c r="AE21" s="48"/>
      <c r="AF21" s="48"/>
      <c r="AG21" s="48"/>
      <c r="AH21" s="14">
        <f t="shared" si="0"/>
        <v>270000000</v>
      </c>
      <c r="AI21" s="17"/>
    </row>
    <row r="22" spans="1:37">
      <c r="A22" s="15" t="s">
        <v>20</v>
      </c>
      <c r="B22" s="11"/>
      <c r="C22" s="13"/>
      <c r="D22" s="73"/>
      <c r="E22" s="48"/>
      <c r="F22" s="48"/>
      <c r="G22" s="73"/>
      <c r="H22" s="48"/>
      <c r="I22" s="48"/>
      <c r="J22" s="84"/>
      <c r="K22" s="73"/>
      <c r="L22" s="88"/>
      <c r="M22" s="41"/>
      <c r="N22" s="79"/>
      <c r="O22" s="48"/>
      <c r="P22" s="48"/>
      <c r="Q22" s="48"/>
      <c r="R22" s="48"/>
      <c r="S22" s="79"/>
      <c r="T22" s="84"/>
      <c r="U22" s="48"/>
      <c r="V22" s="57"/>
      <c r="W22" s="48"/>
      <c r="X22" s="73"/>
      <c r="Y22" s="48"/>
      <c r="Z22" s="48"/>
      <c r="AA22" s="48"/>
      <c r="AB22" s="48"/>
      <c r="AC22" s="48"/>
      <c r="AD22" s="48"/>
      <c r="AE22" s="48"/>
      <c r="AF22" s="48"/>
      <c r="AG22" s="48"/>
      <c r="AH22" s="14">
        <f t="shared" si="0"/>
        <v>0</v>
      </c>
      <c r="AI22" s="17"/>
    </row>
    <row r="23" spans="1:37">
      <c r="A23" s="15" t="s">
        <v>43</v>
      </c>
      <c r="B23" s="11"/>
      <c r="C23" s="13"/>
      <c r="D23" s="73"/>
      <c r="E23" s="48"/>
      <c r="F23" s="48"/>
      <c r="G23" s="48"/>
      <c r="H23" s="48"/>
      <c r="I23" s="48"/>
      <c r="J23" s="84"/>
      <c r="K23" s="73"/>
      <c r="L23" s="41"/>
      <c r="M23" s="73"/>
      <c r="N23" s="79"/>
      <c r="O23" s="48"/>
      <c r="P23" s="48"/>
      <c r="Q23" s="73"/>
      <c r="R23" s="48"/>
      <c r="S23" s="84">
        <v>191753760</v>
      </c>
      <c r="T23" s="84">
        <v>61124800</v>
      </c>
      <c r="U23" s="48"/>
      <c r="V23" s="57"/>
      <c r="W23" s="48"/>
      <c r="X23" s="73">
        <v>138441600</v>
      </c>
      <c r="Y23" s="48"/>
      <c r="Z23" s="48"/>
      <c r="AA23" s="73"/>
      <c r="AB23" s="73"/>
      <c r="AC23" s="48"/>
      <c r="AE23" s="48"/>
      <c r="AF23" s="48"/>
      <c r="AG23" s="73">
        <v>66792000</v>
      </c>
      <c r="AH23" s="14">
        <f t="shared" si="0"/>
        <v>458112160</v>
      </c>
      <c r="AI23" s="17">
        <f>390501249-392501249</f>
        <v>-2000000</v>
      </c>
    </row>
    <row r="24" spans="1:37">
      <c r="A24" s="15" t="s">
        <v>44</v>
      </c>
      <c r="B24" s="11"/>
      <c r="C24" s="13"/>
      <c r="D24" s="73">
        <v>114549416</v>
      </c>
      <c r="E24" s="73"/>
      <c r="F24" s="48"/>
      <c r="G24" s="48"/>
      <c r="H24" s="48"/>
      <c r="I24" s="48"/>
      <c r="J24" s="84"/>
      <c r="K24" s="73"/>
      <c r="M24" s="48"/>
      <c r="N24" s="42">
        <f>144853632-116056341</f>
        <v>28797291</v>
      </c>
      <c r="O24" s="48"/>
      <c r="P24" s="48"/>
      <c r="Q24" s="73">
        <f>153906984+80079514</f>
        <v>233986498</v>
      </c>
      <c r="R24" s="73"/>
      <c r="S24" s="48"/>
      <c r="T24" s="84"/>
      <c r="U24" s="48"/>
      <c r="V24" s="57"/>
      <c r="W24" s="48"/>
      <c r="X24" s="48"/>
      <c r="Y24" s="48"/>
      <c r="Z24" s="48"/>
      <c r="AA24" s="48"/>
      <c r="AB24" s="98">
        <f>57438489-7593328</f>
        <v>49845161</v>
      </c>
      <c r="AC24" s="48"/>
      <c r="AD24" s="48"/>
      <c r="AE24" s="48"/>
      <c r="AF24" s="17"/>
      <c r="AG24" s="48"/>
      <c r="AH24" s="14">
        <f t="shared" si="0"/>
        <v>427178366</v>
      </c>
    </row>
    <row r="25" spans="1:37">
      <c r="A25" s="15" t="s">
        <v>21</v>
      </c>
      <c r="B25" s="11"/>
      <c r="C25" s="13"/>
      <c r="D25" s="73"/>
      <c r="E25" s="48"/>
      <c r="F25" s="48"/>
      <c r="G25" s="48"/>
      <c r="H25" s="48"/>
      <c r="I25" s="48"/>
      <c r="J25" s="84"/>
      <c r="K25" s="73"/>
      <c r="L25" s="41"/>
      <c r="M25" s="48"/>
      <c r="N25" s="48"/>
      <c r="O25" s="48"/>
      <c r="P25" s="48"/>
      <c r="Q25" s="48"/>
      <c r="R25" s="48"/>
      <c r="S25" s="48"/>
      <c r="T25" s="84"/>
      <c r="U25" s="48"/>
      <c r="V25" s="57"/>
      <c r="W25" s="48"/>
      <c r="X25" s="73"/>
      <c r="Y25" s="48"/>
      <c r="Z25" s="48"/>
      <c r="AA25" s="73">
        <f>89859405-44428010</f>
        <v>45431395</v>
      </c>
      <c r="AB25" s="48"/>
      <c r="AC25" s="48"/>
      <c r="AD25" s="48"/>
      <c r="AE25" s="48"/>
      <c r="AF25" s="48"/>
      <c r="AG25" s="48"/>
      <c r="AH25" s="14">
        <f t="shared" si="0"/>
        <v>45431395</v>
      </c>
      <c r="AI25" s="17"/>
    </row>
    <row r="26" spans="1:37">
      <c r="A26" s="15" t="s">
        <v>22</v>
      </c>
      <c r="B26" s="11"/>
      <c r="C26" s="13"/>
      <c r="D26" s="73"/>
      <c r="E26" s="48"/>
      <c r="F26" s="48"/>
      <c r="G26" s="48"/>
      <c r="H26" s="48"/>
      <c r="I26" s="48"/>
      <c r="J26" s="84"/>
      <c r="K26" s="73"/>
      <c r="L26" s="41"/>
      <c r="M26" s="48"/>
      <c r="N26" s="48"/>
      <c r="O26" s="48"/>
      <c r="P26" s="48"/>
      <c r="Q26" s="48"/>
      <c r="R26" s="48"/>
      <c r="S26" s="57"/>
      <c r="T26" s="84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14">
        <f t="shared" si="0"/>
        <v>0</v>
      </c>
      <c r="AI26" s="17"/>
    </row>
    <row r="27" spans="1:37">
      <c r="A27" s="15" t="s">
        <v>23</v>
      </c>
      <c r="B27" s="11"/>
      <c r="C27" s="13"/>
      <c r="D27" s="73"/>
      <c r="E27" s="48"/>
      <c r="F27" s="41"/>
      <c r="G27" s="73">
        <v>235660000</v>
      </c>
      <c r="H27" s="48"/>
      <c r="I27" s="48"/>
      <c r="J27" s="84">
        <v>235120000</v>
      </c>
      <c r="K27" s="73"/>
      <c r="L27" s="41"/>
      <c r="M27" s="48"/>
      <c r="N27" s="48"/>
      <c r="O27" s="48"/>
      <c r="P27" s="48"/>
      <c r="Q27" s="48"/>
      <c r="R27" s="48"/>
      <c r="S27" s="48"/>
      <c r="T27" s="95"/>
      <c r="U27" s="48"/>
      <c r="V27" s="48"/>
      <c r="W27" s="48"/>
      <c r="X27" s="48"/>
      <c r="Y27" s="48"/>
      <c r="Z27" s="50"/>
      <c r="AA27" s="50"/>
      <c r="AB27" s="50"/>
      <c r="AC27" s="48"/>
      <c r="AD27" s="48"/>
      <c r="AE27" s="48"/>
      <c r="AF27" s="48"/>
      <c r="AG27" s="48"/>
      <c r="AH27" s="14">
        <f t="shared" si="0"/>
        <v>470780000</v>
      </c>
      <c r="AI27" s="17"/>
    </row>
    <row r="28" spans="1:37">
      <c r="A28" s="15" t="s">
        <v>45</v>
      </c>
      <c r="B28" s="11"/>
      <c r="C28" s="78"/>
      <c r="D28" s="78"/>
      <c r="E28" s="41"/>
      <c r="F28" s="41"/>
      <c r="G28" s="41"/>
      <c r="H28" s="48"/>
      <c r="I28" s="41"/>
      <c r="J28" s="85"/>
      <c r="K28" s="78"/>
      <c r="L28" s="41"/>
      <c r="M28" s="41"/>
      <c r="N28" s="41"/>
      <c r="O28" s="41"/>
      <c r="P28" s="48"/>
      <c r="Q28" s="41"/>
      <c r="R28" s="41"/>
      <c r="S28" s="41"/>
      <c r="T28" s="96">
        <v>86625000</v>
      </c>
      <c r="U28" s="41"/>
      <c r="V28" s="48"/>
      <c r="W28" s="48"/>
      <c r="X28" s="94">
        <v>92400000</v>
      </c>
      <c r="Y28" s="41"/>
      <c r="Z28" s="41"/>
      <c r="AA28" s="41"/>
      <c r="AB28" s="97">
        <v>86625000</v>
      </c>
      <c r="AC28" s="50"/>
      <c r="AD28" s="57"/>
      <c r="AE28" s="48"/>
      <c r="AF28" s="48"/>
      <c r="AG28" s="73">
        <v>91951200</v>
      </c>
      <c r="AH28" s="14">
        <f>SUM(E28:AG28)</f>
        <v>357601200</v>
      </c>
      <c r="AI28" s="17"/>
      <c r="AJ28" s="33">
        <v>245437500</v>
      </c>
      <c r="AK28" s="44">
        <v>44137</v>
      </c>
    </row>
    <row r="29" spans="1:37">
      <c r="A29" s="15"/>
      <c r="B29" s="11"/>
      <c r="C29" s="78"/>
      <c r="D29" s="78"/>
      <c r="E29" s="41"/>
      <c r="F29" s="41"/>
      <c r="G29" s="41"/>
      <c r="H29" s="48"/>
      <c r="I29" s="41"/>
      <c r="J29" s="85"/>
      <c r="K29" s="78"/>
      <c r="L29" s="41"/>
      <c r="M29" s="41"/>
      <c r="N29" s="41"/>
      <c r="O29" s="41"/>
      <c r="P29" s="48"/>
      <c r="Q29" s="41"/>
      <c r="R29" s="41"/>
      <c r="S29" s="41"/>
      <c r="T29" s="88"/>
      <c r="U29" s="41"/>
      <c r="V29" s="41"/>
      <c r="W29" s="48"/>
      <c r="X29" s="41"/>
      <c r="Y29" s="41"/>
      <c r="Z29" s="41"/>
      <c r="AA29" s="41"/>
      <c r="AC29" s="50"/>
      <c r="AD29" s="57"/>
      <c r="AE29" s="48"/>
      <c r="AF29" s="48"/>
      <c r="AH29" s="14"/>
      <c r="AI29" s="17"/>
      <c r="AJ29" s="82"/>
      <c r="AK29" s="44"/>
    </row>
    <row r="30" spans="1:37">
      <c r="A30" s="15" t="s">
        <v>24</v>
      </c>
      <c r="B30" s="11"/>
      <c r="C30" s="13"/>
      <c r="D30" s="73"/>
      <c r="E30" s="48"/>
      <c r="F30" s="48"/>
      <c r="G30" s="41"/>
      <c r="H30" s="48"/>
      <c r="I30" s="48"/>
      <c r="J30" s="85"/>
      <c r="K30" s="78"/>
      <c r="L30" s="41"/>
      <c r="M30" s="41"/>
      <c r="N30" s="41"/>
      <c r="O30" s="48"/>
      <c r="P30" s="48"/>
      <c r="Q30" s="41"/>
      <c r="R30" s="41"/>
      <c r="S30" s="41"/>
      <c r="T30" s="88"/>
      <c r="U30" s="41"/>
      <c r="V30" s="41"/>
      <c r="W30" s="48"/>
      <c r="X30" s="41"/>
      <c r="Y30" s="41"/>
      <c r="Z30" s="41"/>
      <c r="AA30" s="41"/>
      <c r="AB30" s="41"/>
      <c r="AC30" s="41"/>
      <c r="AD30" s="100"/>
      <c r="AE30" s="48"/>
      <c r="AF30" s="48"/>
      <c r="AG30" s="73">
        <v>279573295</v>
      </c>
      <c r="AH30" s="14">
        <f>SUM(C30:AG30)</f>
        <v>279573295</v>
      </c>
      <c r="AI30" s="17"/>
    </row>
    <row r="31" spans="1:37">
      <c r="A31" s="15" t="s">
        <v>25</v>
      </c>
      <c r="B31" s="11"/>
      <c r="C31" s="78"/>
      <c r="D31" s="78"/>
      <c r="E31" s="41"/>
      <c r="F31" s="41"/>
      <c r="G31" s="41"/>
      <c r="H31" s="42"/>
      <c r="I31" s="48"/>
      <c r="J31" s="85"/>
      <c r="K31" s="78"/>
      <c r="L31" s="41"/>
      <c r="M31" s="41"/>
      <c r="N31" s="41"/>
      <c r="O31" s="48"/>
      <c r="P31" s="48"/>
      <c r="Q31" s="41"/>
      <c r="R31" s="41"/>
      <c r="S31" s="41"/>
      <c r="T31" s="88"/>
      <c r="U31" s="41"/>
      <c r="V31" s="41"/>
      <c r="W31" s="48"/>
      <c r="X31" s="41"/>
      <c r="Y31" s="41"/>
      <c r="Z31" s="41"/>
      <c r="AA31" s="41"/>
      <c r="AB31" s="41"/>
      <c r="AC31" s="41"/>
      <c r="AE31" s="41"/>
      <c r="AF31" s="48"/>
      <c r="AG31" s="41"/>
      <c r="AH31" s="14">
        <f>SUM(H31:AF31)</f>
        <v>0</v>
      </c>
      <c r="AI31" s="17"/>
      <c r="AJ31" s="48">
        <v>127684117</v>
      </c>
    </row>
    <row r="32" spans="1:37">
      <c r="A32" s="15" t="s">
        <v>26</v>
      </c>
      <c r="B32" s="11"/>
      <c r="C32" s="13"/>
      <c r="D32" s="73"/>
      <c r="E32" s="48"/>
      <c r="F32" s="48"/>
      <c r="G32" s="48"/>
      <c r="H32" s="48"/>
      <c r="I32" s="48"/>
      <c r="J32" s="85"/>
      <c r="K32" s="78"/>
      <c r="L32" s="41"/>
      <c r="M32" s="41"/>
      <c r="N32" s="41"/>
      <c r="O32" s="48"/>
      <c r="P32" s="48"/>
      <c r="Q32" s="41"/>
      <c r="R32" s="41"/>
      <c r="S32" s="41"/>
      <c r="T32" s="88"/>
      <c r="U32" s="41"/>
      <c r="V32" s="41"/>
      <c r="W32" s="48"/>
      <c r="X32" s="41"/>
      <c r="Y32" s="41"/>
      <c r="Z32" s="41"/>
      <c r="AA32" s="41"/>
      <c r="AB32" s="41"/>
      <c r="AC32" s="41"/>
      <c r="AD32" s="100"/>
      <c r="AE32" s="41"/>
      <c r="AF32" s="48"/>
      <c r="AG32" s="41"/>
      <c r="AH32" s="14">
        <f>SUM(C32:AF32)</f>
        <v>0</v>
      </c>
      <c r="AI32" s="17"/>
    </row>
    <row r="33" spans="1:35">
      <c r="A33" s="15"/>
      <c r="B33" s="11"/>
      <c r="C33" s="13"/>
      <c r="D33" s="73"/>
      <c r="E33" s="48"/>
      <c r="F33" s="48"/>
      <c r="G33" s="48"/>
      <c r="H33" s="48"/>
      <c r="I33" s="48"/>
      <c r="J33" s="85"/>
      <c r="K33" s="78"/>
      <c r="L33" s="41"/>
      <c r="M33" s="41"/>
      <c r="N33" s="41"/>
      <c r="O33" s="48"/>
      <c r="P33" s="48"/>
      <c r="Q33" s="41"/>
      <c r="R33" s="41"/>
      <c r="S33" s="41"/>
      <c r="T33" s="88"/>
      <c r="U33" s="41"/>
      <c r="V33" s="48"/>
      <c r="W33" s="48"/>
      <c r="X33" s="41"/>
      <c r="Y33" s="41"/>
      <c r="Z33" s="41"/>
      <c r="AA33" s="41"/>
      <c r="AB33" s="41"/>
      <c r="AC33" s="41"/>
      <c r="AD33" s="100"/>
      <c r="AE33" s="41"/>
      <c r="AF33" s="48"/>
      <c r="AG33" s="41"/>
      <c r="AH33" s="14"/>
      <c r="AI33" s="17"/>
    </row>
    <row r="34" spans="1:35">
      <c r="A34" s="15" t="s">
        <v>115</v>
      </c>
      <c r="B34" s="11"/>
      <c r="C34" s="13"/>
      <c r="D34" s="73"/>
      <c r="E34" s="57"/>
      <c r="F34" s="48"/>
      <c r="G34" s="48"/>
      <c r="H34" s="48"/>
      <c r="I34" s="48"/>
      <c r="J34" s="84"/>
      <c r="K34" s="73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73">
        <v>132228134</v>
      </c>
      <c r="Y34" s="48"/>
      <c r="Z34" s="48"/>
      <c r="AA34" s="48"/>
      <c r="AB34" s="48"/>
      <c r="AC34" s="48"/>
      <c r="AD34" s="100"/>
      <c r="AE34" s="48"/>
      <c r="AF34" s="48"/>
      <c r="AG34" s="48"/>
      <c r="AH34" s="14"/>
      <c r="AI34" s="17"/>
    </row>
    <row r="35" spans="1:35" ht="15">
      <c r="A35" s="15" t="s">
        <v>27</v>
      </c>
      <c r="B35" s="11"/>
      <c r="C35" s="13"/>
      <c r="D35" s="13"/>
      <c r="E35" s="48"/>
      <c r="F35" s="48"/>
      <c r="G35" s="48"/>
      <c r="H35" s="51"/>
      <c r="I35" s="51"/>
      <c r="J35" s="84"/>
      <c r="K35" s="73"/>
      <c r="L35" s="48"/>
      <c r="M35" s="48"/>
      <c r="N35" s="48"/>
      <c r="O35" s="48"/>
      <c r="P35" s="48"/>
      <c r="Q35" s="73"/>
      <c r="R35" s="48"/>
      <c r="S35" s="48"/>
      <c r="T35" s="79"/>
      <c r="U35" s="48"/>
      <c r="V35" s="48"/>
      <c r="W35" s="48"/>
      <c r="X35" s="48"/>
      <c r="Y35" s="48"/>
      <c r="Z35" s="48"/>
      <c r="AA35" s="48"/>
      <c r="AB35" s="48"/>
      <c r="AC35" s="48"/>
      <c r="AD35" s="100"/>
      <c r="AE35" s="41"/>
      <c r="AF35" s="48"/>
      <c r="AG35" s="48"/>
      <c r="AH35" s="14">
        <f>SUM(C35:AG35)</f>
        <v>0</v>
      </c>
      <c r="AI35" s="17"/>
    </row>
    <row r="36" spans="1:35" ht="15">
      <c r="A36" s="15" t="s">
        <v>113</v>
      </c>
      <c r="B36" s="11"/>
      <c r="C36" s="13"/>
      <c r="D36" s="13"/>
      <c r="E36" s="48"/>
      <c r="F36" s="48"/>
      <c r="G36" s="48"/>
      <c r="H36" s="51"/>
      <c r="I36" s="51"/>
      <c r="J36" s="84">
        <v>148500000</v>
      </c>
      <c r="K36" s="73"/>
      <c r="L36" s="48"/>
      <c r="M36" s="73"/>
      <c r="N36" s="48"/>
      <c r="O36" s="48"/>
      <c r="P36" s="48"/>
      <c r="Q36" s="73">
        <v>309200000</v>
      </c>
      <c r="R36" s="48"/>
      <c r="S36" s="57"/>
      <c r="T36" s="48"/>
      <c r="U36" s="48"/>
      <c r="V36" s="48"/>
      <c r="W36" s="48"/>
      <c r="X36" s="73">
        <v>39837500</v>
      </c>
      <c r="Y36" s="48"/>
      <c r="Z36" s="48"/>
      <c r="AA36" s="73"/>
      <c r="AB36" s="48"/>
      <c r="AC36" s="48"/>
      <c r="AD36" s="100"/>
      <c r="AE36" s="48"/>
      <c r="AF36" s="48"/>
      <c r="AG36" s="48"/>
      <c r="AH36" s="14"/>
      <c r="AI36" s="17"/>
    </row>
    <row r="37" spans="1:35" ht="15">
      <c r="A37" s="15" t="s">
        <v>114</v>
      </c>
      <c r="B37" s="11"/>
      <c r="C37" s="13"/>
      <c r="D37" s="13"/>
      <c r="E37" s="48"/>
      <c r="F37" s="48"/>
      <c r="G37" s="48"/>
      <c r="H37" s="51"/>
      <c r="I37" s="51"/>
      <c r="J37" s="84"/>
      <c r="K37" s="73"/>
      <c r="L37" s="48"/>
      <c r="M37" s="73"/>
      <c r="N37" s="48"/>
      <c r="O37" s="48"/>
      <c r="P37" s="48"/>
      <c r="Q37" s="73"/>
      <c r="R37" s="48"/>
      <c r="S37" s="57"/>
      <c r="T37" s="48"/>
      <c r="U37" s="48"/>
      <c r="V37" s="48"/>
      <c r="W37" s="48"/>
      <c r="X37" s="73">
        <v>90750000</v>
      </c>
      <c r="Y37" s="73">
        <v>90042000</v>
      </c>
      <c r="Z37" s="48"/>
      <c r="AA37" s="73"/>
      <c r="AB37" s="98">
        <v>41250000</v>
      </c>
      <c r="AC37" s="48"/>
      <c r="AD37" s="48"/>
      <c r="AE37" s="98">
        <v>658000</v>
      </c>
      <c r="AF37" s="48"/>
      <c r="AG37" s="48"/>
      <c r="AH37" s="14"/>
      <c r="AI37" s="17"/>
    </row>
    <row r="38" spans="1:35" ht="15">
      <c r="A38" s="15"/>
      <c r="B38" s="11"/>
      <c r="C38" s="13"/>
      <c r="D38" s="13"/>
      <c r="E38" s="48"/>
      <c r="F38" s="48"/>
      <c r="G38" s="48"/>
      <c r="H38" s="51"/>
      <c r="I38" s="51"/>
      <c r="J38" s="84"/>
      <c r="K38" s="73"/>
      <c r="L38" s="48"/>
      <c r="M38" s="73"/>
      <c r="N38" s="48"/>
      <c r="O38" s="48"/>
      <c r="P38" s="48"/>
      <c r="Q38" s="73"/>
      <c r="R38" s="48"/>
      <c r="S38" s="57"/>
      <c r="T38" s="48"/>
      <c r="U38" s="48"/>
      <c r="V38" s="48"/>
      <c r="W38" s="48"/>
      <c r="X38" s="73"/>
      <c r="Y38" s="73"/>
      <c r="Z38" s="48"/>
      <c r="AA38" s="73"/>
      <c r="AB38" s="41"/>
      <c r="AC38" s="41"/>
      <c r="AD38" s="48"/>
      <c r="AE38" s="98">
        <v>313981000</v>
      </c>
      <c r="AF38" s="48"/>
      <c r="AG38" s="48"/>
      <c r="AH38" s="14"/>
      <c r="AI38" s="17"/>
    </row>
    <row r="39" spans="1:35" ht="15">
      <c r="A39" s="15" t="s">
        <v>116</v>
      </c>
      <c r="B39" s="11"/>
      <c r="C39" s="13"/>
      <c r="D39" s="13"/>
      <c r="E39" s="48"/>
      <c r="F39" s="48"/>
      <c r="G39" s="48"/>
      <c r="H39" s="51"/>
      <c r="I39" s="51"/>
      <c r="J39" s="84"/>
      <c r="K39" s="73"/>
      <c r="L39" s="48"/>
      <c r="M39" s="73"/>
      <c r="N39" s="48"/>
      <c r="O39" s="48"/>
      <c r="P39" s="48"/>
      <c r="Q39" s="73"/>
      <c r="R39" s="48"/>
      <c r="S39" s="57"/>
      <c r="T39" s="48"/>
      <c r="U39" s="48"/>
      <c r="V39" s="48"/>
      <c r="W39" s="48"/>
      <c r="X39" s="73"/>
      <c r="Y39" s="73"/>
      <c r="Z39" s="48"/>
      <c r="AA39" s="73"/>
      <c r="AB39" s="41"/>
      <c r="AD39" s="48"/>
      <c r="AE39" s="48"/>
      <c r="AG39" s="73">
        <v>346400000</v>
      </c>
      <c r="AH39" s="14"/>
      <c r="AI39" s="17"/>
    </row>
    <row r="40" spans="1:35">
      <c r="A40" s="15" t="s">
        <v>28</v>
      </c>
      <c r="B40" s="11"/>
      <c r="C40" s="13"/>
      <c r="D40" s="73"/>
      <c r="E40" s="48"/>
      <c r="F40" s="48"/>
      <c r="G40" s="48"/>
      <c r="H40" s="48"/>
      <c r="I40" s="48"/>
      <c r="J40" s="84"/>
      <c r="K40" s="73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14">
        <f>SUM(C40:AG40)</f>
        <v>0</v>
      </c>
      <c r="AI40" s="17"/>
    </row>
    <row r="41" spans="1:35">
      <c r="A41" s="15" t="s">
        <v>29</v>
      </c>
      <c r="B41" s="11"/>
      <c r="C41" s="13"/>
      <c r="D41" s="73"/>
      <c r="E41" s="48"/>
      <c r="F41" s="48"/>
      <c r="G41" s="48"/>
      <c r="H41" s="48"/>
      <c r="I41" s="48"/>
      <c r="J41" s="84"/>
      <c r="K41" s="73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14">
        <f>SUM(C41:AG41)</f>
        <v>0</v>
      </c>
      <c r="AI41" s="17"/>
    </row>
    <row r="42" spans="1:35">
      <c r="A42" s="15" t="s">
        <v>30</v>
      </c>
      <c r="B42" s="11"/>
      <c r="C42" s="13"/>
      <c r="D42" s="73"/>
      <c r="E42" s="57"/>
      <c r="F42" s="48"/>
      <c r="G42" s="48"/>
      <c r="H42" s="48"/>
      <c r="I42" s="48"/>
      <c r="J42" s="84"/>
      <c r="K42" s="73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14">
        <f>SUM(C42:AG42)</f>
        <v>0</v>
      </c>
      <c r="AI42" s="17"/>
    </row>
    <row r="43" spans="1:35">
      <c r="A43" s="15" t="s">
        <v>31</v>
      </c>
      <c r="B43" s="11"/>
      <c r="C43" s="13"/>
      <c r="D43" s="73"/>
      <c r="E43" s="57"/>
      <c r="F43" s="48"/>
      <c r="G43" s="48"/>
      <c r="H43" s="48"/>
      <c r="I43" s="48"/>
      <c r="J43" s="84"/>
      <c r="K43" s="73"/>
      <c r="L43" s="48"/>
      <c r="M43" s="48"/>
      <c r="N43" s="48"/>
      <c r="O43" s="48"/>
      <c r="P43" s="48"/>
      <c r="Q43" s="48"/>
      <c r="R43" s="48"/>
      <c r="S43" s="48"/>
      <c r="T43" s="48"/>
      <c r="U43" s="73">
        <f>26324925-12431523</f>
        <v>13893402</v>
      </c>
      <c r="V43" s="48"/>
      <c r="W43" s="48"/>
      <c r="X43" s="73">
        <v>131624625</v>
      </c>
      <c r="Y43" s="48"/>
      <c r="Z43" s="48"/>
      <c r="AA43" s="73">
        <v>17549950</v>
      </c>
      <c r="AB43" s="48"/>
      <c r="AC43" s="48"/>
      <c r="AD43" s="48"/>
      <c r="AE43" s="48"/>
      <c r="AF43" s="48"/>
      <c r="AG43" s="48"/>
      <c r="AH43" s="14">
        <f>SUM(C43:AG43)</f>
        <v>163067977</v>
      </c>
      <c r="AI43" s="17"/>
    </row>
    <row r="44" spans="1:35">
      <c r="A44" s="32" t="s">
        <v>46</v>
      </c>
      <c r="B44" s="11"/>
      <c r="C44" s="13"/>
      <c r="D44" s="13"/>
      <c r="E44" s="57"/>
      <c r="F44" s="73"/>
      <c r="G44" s="73">
        <v>250000000</v>
      </c>
      <c r="H44" s="48"/>
      <c r="I44" s="48"/>
      <c r="K44" s="78"/>
      <c r="M44" s="73"/>
      <c r="N44" s="73">
        <v>350000000</v>
      </c>
      <c r="O44" s="48"/>
      <c r="P44" s="48"/>
      <c r="Q44" s="73"/>
      <c r="R44" s="73"/>
      <c r="S44" s="73"/>
      <c r="T44" s="73">
        <v>883440000</v>
      </c>
      <c r="U44" s="73">
        <v>1800000000</v>
      </c>
      <c r="V44" s="48"/>
      <c r="W44" s="48"/>
      <c r="X44" s="73">
        <v>550000000</v>
      </c>
      <c r="Y44" s="73"/>
      <c r="Z44" s="73">
        <v>11440386</v>
      </c>
      <c r="AA44" s="73">
        <v>100567556</v>
      </c>
      <c r="AB44" s="97">
        <v>500000000</v>
      </c>
      <c r="AC44" s="48"/>
      <c r="AD44" s="48"/>
      <c r="AE44" s="73">
        <v>400000000</v>
      </c>
      <c r="AF44" s="48"/>
      <c r="AG44" s="48"/>
      <c r="AH44" s="14">
        <f>SUM(C44:AG44)</f>
        <v>4845447942</v>
      </c>
      <c r="AI44" s="17"/>
    </row>
    <row r="45" spans="1:35">
      <c r="A45" s="32" t="s">
        <v>47</v>
      </c>
      <c r="B45" s="11"/>
      <c r="C45" s="65"/>
      <c r="D45" s="65"/>
      <c r="F45" s="16"/>
      <c r="H45" s="48"/>
      <c r="I45" s="48"/>
      <c r="J45" s="73"/>
      <c r="K45" s="73"/>
      <c r="L45" s="73"/>
      <c r="M45" s="73"/>
      <c r="N45" s="73">
        <f>82970579+25714285</f>
        <v>108684864</v>
      </c>
      <c r="O45" s="48"/>
      <c r="P45" s="48"/>
      <c r="Q45" s="73"/>
      <c r="R45" s="48"/>
      <c r="S45" s="73"/>
      <c r="T45" s="73">
        <v>1036548000</v>
      </c>
      <c r="U45" s="73">
        <v>9890562</v>
      </c>
      <c r="V45" s="48"/>
      <c r="W45" s="48"/>
      <c r="X45" s="48"/>
      <c r="Y45" s="48"/>
      <c r="Z45" s="48"/>
      <c r="AA45" s="73">
        <v>8600701</v>
      </c>
      <c r="AB45" s="98">
        <v>35000000</v>
      </c>
      <c r="AC45" s="48"/>
      <c r="AD45" s="48"/>
      <c r="AF45" s="48"/>
      <c r="AG45" s="48"/>
      <c r="AH45" s="14">
        <f>SUM(F45:AG45)</f>
        <v>1198724127</v>
      </c>
      <c r="AI45" s="17"/>
    </row>
    <row r="46" spans="1:35">
      <c r="A46" s="19" t="s">
        <v>32</v>
      </c>
      <c r="B46" s="20"/>
      <c r="C46" s="66">
        <f>SUM(C7:C45)</f>
        <v>0</v>
      </c>
      <c r="D46" s="66">
        <f>SUM(D7:D45)</f>
        <v>1270472870</v>
      </c>
      <c r="E46" s="58">
        <f>SUM(E7:E45)</f>
        <v>0</v>
      </c>
      <c r="F46" s="21">
        <f>SUM(F7:F45)</f>
        <v>0</v>
      </c>
      <c r="G46" s="21">
        <f>SUM(G7:G45)</f>
        <v>707143672</v>
      </c>
      <c r="H46" s="21">
        <f>SUM(H8:H45)</f>
        <v>0</v>
      </c>
      <c r="I46" s="21">
        <f>SUM(I7:I45)</f>
        <v>0</v>
      </c>
      <c r="J46" s="66">
        <f>SUM(J7:J45)</f>
        <v>383620000</v>
      </c>
      <c r="K46" s="66">
        <f>SUM(K7:K45)</f>
        <v>270000000</v>
      </c>
      <c r="L46" s="21"/>
      <c r="M46" s="21">
        <f>SUM(M7:M45)</f>
        <v>0</v>
      </c>
      <c r="N46" s="21">
        <f>SUM(N7:N45)</f>
        <v>487482155</v>
      </c>
      <c r="O46" s="21">
        <f>SUM(O8:O45)</f>
        <v>0</v>
      </c>
      <c r="P46" s="21">
        <f t="shared" ref="P46:AD46" si="1">SUM(P7:P45)</f>
        <v>0</v>
      </c>
      <c r="Q46" s="21">
        <f t="shared" si="1"/>
        <v>1633756202</v>
      </c>
      <c r="R46" s="21">
        <f t="shared" si="1"/>
        <v>223312194</v>
      </c>
      <c r="S46" s="21">
        <f t="shared" si="1"/>
        <v>191753760</v>
      </c>
      <c r="T46" s="21">
        <f t="shared" si="1"/>
        <v>3015227200</v>
      </c>
      <c r="U46" s="21">
        <f t="shared" si="1"/>
        <v>1823783964</v>
      </c>
      <c r="V46" s="21">
        <f t="shared" si="1"/>
        <v>0</v>
      </c>
      <c r="W46" s="21">
        <f t="shared" si="1"/>
        <v>0</v>
      </c>
      <c r="X46" s="21">
        <f t="shared" si="1"/>
        <v>1271561569</v>
      </c>
      <c r="Y46" s="21">
        <f t="shared" si="1"/>
        <v>1040434872</v>
      </c>
      <c r="Z46" s="21">
        <f t="shared" si="1"/>
        <v>11440386</v>
      </c>
      <c r="AA46" s="21">
        <f t="shared" si="1"/>
        <v>172149602</v>
      </c>
      <c r="AB46" s="21">
        <f t="shared" si="1"/>
        <v>873179361</v>
      </c>
      <c r="AC46" s="21">
        <f t="shared" si="1"/>
        <v>0</v>
      </c>
      <c r="AD46" s="21">
        <f t="shared" si="1"/>
        <v>0</v>
      </c>
      <c r="AE46" s="21">
        <f>SUM(AE7:AE44)</f>
        <v>1025832257</v>
      </c>
      <c r="AF46" s="21">
        <f>SUM(AF7:AF45)</f>
        <v>0</v>
      </c>
      <c r="AG46" s="21">
        <f>SUM(AG7:AG45)</f>
        <v>784716495</v>
      </c>
      <c r="AH46" s="21">
        <f>SUM(AH7:AH45)</f>
        <v>13402764941</v>
      </c>
    </row>
    <row r="47" spans="1:35">
      <c r="A47" s="22"/>
      <c r="B47" s="11"/>
      <c r="C47" s="67"/>
      <c r="D47" s="67"/>
      <c r="E47" s="59"/>
      <c r="F47" s="12"/>
      <c r="G47" s="12"/>
      <c r="H47" s="12"/>
      <c r="I47" s="12"/>
      <c r="J47" s="67"/>
      <c r="K47" s="67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2"/>
      <c r="AD47" s="12"/>
      <c r="AE47" s="12"/>
      <c r="AF47" s="12"/>
      <c r="AG47" s="12"/>
      <c r="AH47" s="23"/>
      <c r="AI47" s="6"/>
    </row>
    <row r="48" spans="1:35">
      <c r="A48" s="24" t="s">
        <v>33</v>
      </c>
      <c r="B48" s="11"/>
      <c r="C48" s="67"/>
      <c r="D48" s="67"/>
      <c r="E48" s="59"/>
      <c r="F48" s="12"/>
      <c r="G48" s="12"/>
      <c r="H48" s="12"/>
      <c r="I48" s="12"/>
      <c r="J48" s="67"/>
      <c r="K48" s="67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67"/>
      <c r="AB48" s="67"/>
      <c r="AC48" s="12"/>
      <c r="AD48" s="12"/>
      <c r="AE48" s="12"/>
      <c r="AF48" s="12"/>
      <c r="AG48" s="12"/>
      <c r="AH48" s="23"/>
      <c r="AI48" s="6"/>
    </row>
    <row r="49" spans="1:35">
      <c r="A49" s="25" t="s">
        <v>34</v>
      </c>
      <c r="B49" s="26">
        <v>0</v>
      </c>
      <c r="C49" s="67"/>
      <c r="D49" s="67">
        <v>848559803</v>
      </c>
      <c r="E49" s="60"/>
      <c r="F49" s="26"/>
      <c r="G49" s="26"/>
      <c r="H49" s="26"/>
      <c r="I49" s="26"/>
      <c r="J49" s="67"/>
      <c r="K49" s="67"/>
      <c r="L49" s="26"/>
      <c r="M49" s="67"/>
      <c r="N49" s="67"/>
      <c r="O49" s="26"/>
      <c r="P49" s="26"/>
      <c r="Q49" s="67"/>
      <c r="R49" s="67"/>
      <c r="S49" s="67"/>
      <c r="T49" s="67">
        <v>539806410</v>
      </c>
      <c r="U49" s="26"/>
      <c r="V49" s="26"/>
      <c r="W49" s="26"/>
      <c r="X49" s="67"/>
      <c r="Y49" s="26"/>
      <c r="Z49" s="67"/>
      <c r="AA49" s="67">
        <v>1458870321</v>
      </c>
      <c r="AB49" s="67"/>
      <c r="AC49" s="26"/>
      <c r="AD49" s="26"/>
      <c r="AE49" s="26"/>
      <c r="AF49" s="26"/>
      <c r="AG49" s="26"/>
      <c r="AH49" s="23">
        <f t="shared" ref="AH49:AH58" si="2">SUM(C49:AG49)</f>
        <v>2847236534</v>
      </c>
      <c r="AI49" s="17"/>
    </row>
    <row r="50" spans="1:35">
      <c r="A50" s="25" t="s">
        <v>35</v>
      </c>
      <c r="B50" s="26">
        <v>0</v>
      </c>
      <c r="C50" s="13">
        <v>1129591615</v>
      </c>
      <c r="D50" s="13">
        <v>872460990</v>
      </c>
      <c r="E50" s="75">
        <v>913645530</v>
      </c>
      <c r="F50" s="67">
        <v>3239634185</v>
      </c>
      <c r="G50" s="67">
        <v>1366298029</v>
      </c>
      <c r="H50" s="16"/>
      <c r="I50" s="26"/>
      <c r="J50" s="13">
        <v>2898451192</v>
      </c>
      <c r="K50" s="13"/>
      <c r="L50" s="67">
        <v>2259333584</v>
      </c>
      <c r="M50" s="67"/>
      <c r="N50" s="67">
        <v>1977542404</v>
      </c>
      <c r="O50" s="26"/>
      <c r="P50" s="26"/>
      <c r="R50" s="68">
        <v>1644274508</v>
      </c>
      <c r="S50" s="67">
        <v>1008664501</v>
      </c>
      <c r="T50" s="67">
        <v>2023980875</v>
      </c>
      <c r="U50" s="67">
        <v>1679133601</v>
      </c>
      <c r="V50" s="26"/>
      <c r="W50" s="26"/>
      <c r="X50" s="67"/>
      <c r="Y50" s="67"/>
      <c r="Z50" s="67">
        <v>1726098429</v>
      </c>
      <c r="AA50" s="67"/>
      <c r="AB50" s="70">
        <v>1671191512</v>
      </c>
      <c r="AC50" s="26"/>
      <c r="AD50" s="42"/>
      <c r="AE50" s="67">
        <v>1668571957</v>
      </c>
      <c r="AF50" s="67">
        <v>1873754377</v>
      </c>
      <c r="AG50" s="26"/>
      <c r="AH50" s="23">
        <f t="shared" si="2"/>
        <v>27952627289</v>
      </c>
      <c r="AI50" s="17"/>
    </row>
    <row r="51" spans="1:35">
      <c r="A51" s="25"/>
      <c r="B51" s="26"/>
      <c r="C51" s="13"/>
      <c r="D51" s="13"/>
      <c r="E51" s="60"/>
      <c r="F51" s="67"/>
      <c r="G51" s="67"/>
      <c r="H51" s="16"/>
      <c r="I51" s="26"/>
      <c r="J51" s="13"/>
      <c r="K51" s="13"/>
      <c r="L51" s="67">
        <v>2830573614</v>
      </c>
      <c r="M51" s="67"/>
      <c r="N51" s="67">
        <v>2046717741</v>
      </c>
      <c r="O51" s="26"/>
      <c r="P51" s="26"/>
      <c r="Q51" s="68"/>
      <c r="R51" s="67"/>
      <c r="S51" s="67"/>
      <c r="T51" s="67"/>
      <c r="U51" s="67"/>
      <c r="V51" s="26"/>
      <c r="W51" s="26"/>
      <c r="X51" s="67"/>
      <c r="Y51" s="67"/>
      <c r="Z51" s="67"/>
      <c r="AA51" s="67"/>
      <c r="AB51" s="67"/>
      <c r="AC51" s="26"/>
      <c r="AD51" s="42"/>
      <c r="AE51" s="67"/>
      <c r="AF51" s="67"/>
      <c r="AG51" s="26"/>
      <c r="AH51" s="23">
        <f t="shared" si="2"/>
        <v>4877291355</v>
      </c>
      <c r="AI51" s="17"/>
    </row>
    <row r="52" spans="1:35">
      <c r="A52" s="25" t="s">
        <v>36</v>
      </c>
      <c r="B52" s="26">
        <v>0</v>
      </c>
      <c r="C52" s="67"/>
      <c r="D52" s="68"/>
      <c r="E52" s="60"/>
      <c r="F52" s="67"/>
      <c r="G52" s="67"/>
      <c r="H52" s="26"/>
      <c r="I52" s="26"/>
      <c r="J52" s="67"/>
      <c r="K52" s="67"/>
      <c r="L52" s="67"/>
      <c r="M52" s="67"/>
      <c r="N52" s="67"/>
      <c r="O52" s="26"/>
      <c r="P52" s="26"/>
      <c r="Q52" s="67"/>
      <c r="R52" s="26"/>
      <c r="S52" s="67"/>
      <c r="T52" s="26"/>
      <c r="U52" s="67"/>
      <c r="V52" s="26"/>
      <c r="W52" s="26"/>
      <c r="X52" s="26"/>
      <c r="Y52" s="41"/>
      <c r="Z52" s="67"/>
      <c r="AA52" s="67"/>
      <c r="AB52" s="67"/>
      <c r="AC52" s="26"/>
      <c r="AD52" s="26"/>
      <c r="AE52" s="67"/>
      <c r="AF52" s="67"/>
      <c r="AG52" s="26"/>
      <c r="AH52" s="23">
        <f t="shared" si="2"/>
        <v>0</v>
      </c>
      <c r="AI52" s="17"/>
    </row>
    <row r="53" spans="1:35">
      <c r="A53" s="11" t="s">
        <v>53</v>
      </c>
      <c r="B53" s="26">
        <v>0</v>
      </c>
      <c r="C53" s="67"/>
      <c r="D53" s="65">
        <v>414078052</v>
      </c>
      <c r="E53" s="75">
        <v>631371286</v>
      </c>
      <c r="F53" s="67"/>
      <c r="G53" s="67">
        <v>713477226</v>
      </c>
      <c r="H53" s="26"/>
      <c r="I53" s="26"/>
      <c r="J53" s="67">
        <f>486488757+161864558</f>
        <v>648353315</v>
      </c>
      <c r="K53" s="67">
        <v>908454151</v>
      </c>
      <c r="L53" s="67"/>
      <c r="M53" s="67"/>
      <c r="N53" s="65">
        <v>701425251</v>
      </c>
      <c r="O53" s="41"/>
      <c r="P53" s="42"/>
      <c r="Q53" s="67">
        <v>973963658</v>
      </c>
      <c r="R53" s="67">
        <v>1108954864</v>
      </c>
      <c r="S53" s="67">
        <v>655026215</v>
      </c>
      <c r="T53" s="6"/>
      <c r="U53" s="67">
        <v>1053914469</v>
      </c>
      <c r="V53" s="26"/>
      <c r="W53" s="26"/>
      <c r="X53" s="42">
        <v>1092991794</v>
      </c>
      <c r="Y53" s="67">
        <v>1116760468</v>
      </c>
      <c r="Z53" s="67">
        <v>939462483</v>
      </c>
      <c r="AA53" s="67">
        <v>530715673</v>
      </c>
      <c r="AB53" s="70">
        <v>511531225</v>
      </c>
      <c r="AC53" s="26"/>
      <c r="AD53" s="26"/>
      <c r="AE53" s="67">
        <v>614311349</v>
      </c>
      <c r="AF53" s="67"/>
      <c r="AG53" s="67">
        <v>851371905</v>
      </c>
      <c r="AH53" s="23">
        <f t="shared" si="2"/>
        <v>13466163384</v>
      </c>
      <c r="AI53" s="17"/>
    </row>
    <row r="54" spans="1:35">
      <c r="A54" s="11" t="s">
        <v>54</v>
      </c>
      <c r="B54" s="26"/>
      <c r="C54" s="67"/>
      <c r="D54" s="68"/>
      <c r="F54" s="67"/>
      <c r="G54" s="67"/>
      <c r="H54" s="26"/>
      <c r="I54" s="26"/>
      <c r="J54" s="67"/>
      <c r="K54" s="67"/>
      <c r="L54" s="67"/>
      <c r="M54" s="67"/>
      <c r="N54" s="67"/>
      <c r="O54" s="26"/>
      <c r="P54" s="42"/>
      <c r="Q54" s="67"/>
      <c r="R54" s="67"/>
      <c r="S54" s="67"/>
      <c r="T54" s="67"/>
      <c r="U54" s="67"/>
      <c r="V54" s="41"/>
      <c r="W54" s="41"/>
      <c r="X54" s="41"/>
      <c r="Y54" s="67"/>
      <c r="Z54" s="65"/>
      <c r="AA54" s="67"/>
      <c r="AB54" s="67"/>
      <c r="AC54" s="26"/>
      <c r="AD54" s="26"/>
      <c r="AE54" s="67"/>
      <c r="AF54" s="67"/>
      <c r="AG54" s="26"/>
      <c r="AH54" s="23">
        <f t="shared" si="2"/>
        <v>0</v>
      </c>
      <c r="AI54" s="17">
        <v>1</v>
      </c>
    </row>
    <row r="55" spans="1:35">
      <c r="A55" s="11" t="s">
        <v>37</v>
      </c>
      <c r="B55" s="26">
        <v>0</v>
      </c>
      <c r="C55" s="65">
        <v>462489465</v>
      </c>
      <c r="D55" s="65">
        <v>752662740</v>
      </c>
      <c r="E55" s="76">
        <v>786262434</v>
      </c>
      <c r="F55" s="67">
        <v>851897949</v>
      </c>
      <c r="G55" s="72">
        <v>618695517</v>
      </c>
      <c r="H55" s="26"/>
      <c r="I55" s="26"/>
      <c r="J55" s="67">
        <f>661102512+489868436</f>
        <v>1150970948</v>
      </c>
      <c r="K55" s="67">
        <v>700487636</v>
      </c>
      <c r="L55" s="67">
        <v>621468246</v>
      </c>
      <c r="M55" s="67"/>
      <c r="N55" s="67">
        <v>259431069</v>
      </c>
      <c r="O55" s="26"/>
      <c r="P55" s="42"/>
      <c r="Q55" s="67"/>
      <c r="R55" s="67"/>
      <c r="S55" s="26"/>
      <c r="T55" s="67"/>
      <c r="U55" s="67"/>
      <c r="V55" s="26"/>
      <c r="W55" s="26"/>
      <c r="X55" s="42"/>
      <c r="Y55" s="65"/>
      <c r="Z55" s="67"/>
      <c r="AA55" s="67">
        <v>383111946</v>
      </c>
      <c r="AB55" s="97">
        <v>764652689</v>
      </c>
      <c r="AC55" s="26"/>
      <c r="AD55" s="26"/>
      <c r="AE55" s="67">
        <v>422971045</v>
      </c>
      <c r="AF55" s="67">
        <v>665920882</v>
      </c>
      <c r="AG55" s="67">
        <v>654113434</v>
      </c>
      <c r="AH55" s="23">
        <f>SUM(C55:AG55)</f>
        <v>9095136000</v>
      </c>
      <c r="AI55" s="17"/>
    </row>
    <row r="56" spans="1:35">
      <c r="A56" s="11" t="s">
        <v>38</v>
      </c>
      <c r="B56" s="26">
        <v>0</v>
      </c>
      <c r="C56" s="68"/>
      <c r="D56" s="68"/>
      <c r="E56" s="61"/>
      <c r="F56" s="67"/>
      <c r="G56" s="67"/>
      <c r="H56" s="26"/>
      <c r="I56" s="26"/>
      <c r="J56" s="67"/>
      <c r="K56" s="67"/>
      <c r="L56" s="67">
        <v>490229554</v>
      </c>
      <c r="M56" s="67"/>
      <c r="N56" s="78"/>
      <c r="O56" s="41"/>
      <c r="P56" s="54"/>
      <c r="Q56" s="78"/>
      <c r="R56" s="42"/>
      <c r="S56" s="26"/>
      <c r="U56" s="67"/>
      <c r="V56" s="41"/>
      <c r="W56" s="42"/>
      <c r="X56" s="41"/>
      <c r="Y56" s="78"/>
      <c r="Z56" s="78"/>
      <c r="AA56" s="67"/>
      <c r="AB56" s="97">
        <v>531559402</v>
      </c>
      <c r="AC56" s="26"/>
      <c r="AD56" s="26"/>
      <c r="AE56" s="67"/>
      <c r="AH56" s="23">
        <f t="shared" si="2"/>
        <v>1021788956</v>
      </c>
      <c r="AI56" s="17"/>
    </row>
    <row r="57" spans="1:35">
      <c r="A57" s="11" t="s">
        <v>39</v>
      </c>
      <c r="B57" s="26">
        <v>0</v>
      </c>
      <c r="C57" s="69">
        <v>754431384</v>
      </c>
      <c r="D57" s="65">
        <v>770701358</v>
      </c>
      <c r="E57" s="6">
        <v>760422864</v>
      </c>
      <c r="F57" s="67">
        <v>1082295621</v>
      </c>
      <c r="G57" s="67">
        <v>749423054</v>
      </c>
      <c r="H57" s="26"/>
      <c r="I57" s="26"/>
      <c r="J57" s="67">
        <v>382231770</v>
      </c>
      <c r="K57" s="67">
        <v>775893305</v>
      </c>
      <c r="L57" s="67"/>
      <c r="M57" s="67"/>
      <c r="N57" s="67">
        <v>726696027</v>
      </c>
      <c r="O57" s="41"/>
      <c r="P57" s="54"/>
      <c r="Q57" s="67">
        <v>734112377</v>
      </c>
      <c r="R57" s="67">
        <v>378586329</v>
      </c>
      <c r="S57" s="67">
        <v>762707877</v>
      </c>
      <c r="T57" s="67"/>
      <c r="U57" s="67"/>
      <c r="V57" s="26"/>
      <c r="W57" s="26"/>
      <c r="X57" s="42">
        <v>356042060</v>
      </c>
      <c r="Y57" s="65">
        <v>960768525</v>
      </c>
      <c r="Z57" s="67">
        <v>946935691</v>
      </c>
      <c r="AA57" s="67">
        <v>879246418</v>
      </c>
      <c r="AB57" s="99">
        <v>681538874</v>
      </c>
      <c r="AC57" s="26"/>
      <c r="AD57" s="26"/>
      <c r="AE57" s="67">
        <v>1141853660</v>
      </c>
      <c r="AF57" s="67">
        <v>850443457</v>
      </c>
      <c r="AG57" s="67">
        <v>1135324365</v>
      </c>
      <c r="AH57" s="23">
        <f t="shared" si="2"/>
        <v>14829655016</v>
      </c>
      <c r="AI57" s="17"/>
    </row>
    <row r="58" spans="1:35">
      <c r="A58" s="11" t="s">
        <v>40</v>
      </c>
      <c r="B58" s="26">
        <v>0</v>
      </c>
      <c r="C58" s="68"/>
      <c r="D58" s="68"/>
      <c r="E58" s="26"/>
      <c r="F58" s="67"/>
      <c r="H58" s="26"/>
      <c r="I58" s="41"/>
      <c r="J58" s="65"/>
      <c r="K58" s="67"/>
      <c r="L58" s="26"/>
      <c r="M58" s="26"/>
      <c r="N58" s="26"/>
      <c r="O58" s="26"/>
      <c r="P58" s="54"/>
      <c r="Q58" s="67"/>
      <c r="R58" s="26"/>
      <c r="S58" s="26"/>
      <c r="T58" s="26"/>
      <c r="U58" s="67"/>
      <c r="V58" s="41"/>
      <c r="W58" s="41"/>
      <c r="X58" s="42">
        <v>674722141</v>
      </c>
      <c r="Y58" s="41"/>
      <c r="Z58" s="78"/>
      <c r="AA58" s="67"/>
      <c r="AB58" s="97">
        <v>750553124</v>
      </c>
      <c r="AC58" s="26"/>
      <c r="AD58" s="26"/>
      <c r="AE58" s="26"/>
      <c r="AF58" s="26"/>
      <c r="AG58" s="26"/>
      <c r="AH58" s="23">
        <f t="shared" si="2"/>
        <v>1425275265</v>
      </c>
      <c r="AI58" s="17"/>
    </row>
    <row r="59" spans="1:35">
      <c r="A59" s="27" t="s">
        <v>41</v>
      </c>
      <c r="B59" s="28"/>
      <c r="C59" s="70">
        <f t="shared" ref="C59:AH59" si="3">SUM(C49:C58)</f>
        <v>2346512464</v>
      </c>
      <c r="D59" s="70">
        <f t="shared" si="3"/>
        <v>3658462943</v>
      </c>
      <c r="E59" s="29">
        <f t="shared" si="3"/>
        <v>3091702114</v>
      </c>
      <c r="F59" s="29">
        <f t="shared" si="3"/>
        <v>5173827755</v>
      </c>
      <c r="G59" s="29">
        <f t="shared" si="3"/>
        <v>3447893826</v>
      </c>
      <c r="H59" s="29">
        <f t="shared" si="3"/>
        <v>0</v>
      </c>
      <c r="I59" s="29">
        <f>SUM(I49:I58)</f>
        <v>0</v>
      </c>
      <c r="J59" s="70">
        <f>SUM(J49:J57)</f>
        <v>5080007225</v>
      </c>
      <c r="K59" s="70">
        <f t="shared" si="3"/>
        <v>2384835092</v>
      </c>
      <c r="L59" s="29">
        <f t="shared" si="3"/>
        <v>6201604998</v>
      </c>
      <c r="M59" s="29">
        <f t="shared" si="3"/>
        <v>0</v>
      </c>
      <c r="N59" s="29">
        <f t="shared" si="3"/>
        <v>5711812492</v>
      </c>
      <c r="O59" s="29">
        <f t="shared" si="3"/>
        <v>0</v>
      </c>
      <c r="P59" s="29">
        <f t="shared" si="3"/>
        <v>0</v>
      </c>
      <c r="Q59" s="29">
        <f t="shared" si="3"/>
        <v>1708076035</v>
      </c>
      <c r="R59" s="29">
        <f t="shared" si="3"/>
        <v>3131815701</v>
      </c>
      <c r="S59" s="29">
        <f t="shared" si="3"/>
        <v>2426398593</v>
      </c>
      <c r="T59" s="29">
        <f t="shared" si="3"/>
        <v>2563787285</v>
      </c>
      <c r="U59" s="29">
        <f t="shared" si="3"/>
        <v>2733048070</v>
      </c>
      <c r="V59" s="29">
        <f t="shared" si="3"/>
        <v>0</v>
      </c>
      <c r="W59" s="29">
        <f t="shared" si="3"/>
        <v>0</v>
      </c>
      <c r="X59" s="29">
        <f>SUM(X49:X58)</f>
        <v>2123755995</v>
      </c>
      <c r="Y59" s="29">
        <f t="shared" si="3"/>
        <v>2077528993</v>
      </c>
      <c r="Z59" s="29">
        <f t="shared" si="3"/>
        <v>3612496603</v>
      </c>
      <c r="AA59" s="29">
        <f t="shared" si="3"/>
        <v>3251944358</v>
      </c>
      <c r="AB59" s="29">
        <f t="shared" si="3"/>
        <v>4911026826</v>
      </c>
      <c r="AC59" s="29">
        <f t="shared" si="3"/>
        <v>0</v>
      </c>
      <c r="AD59" s="29">
        <f t="shared" si="3"/>
        <v>0</v>
      </c>
      <c r="AE59" s="29">
        <f t="shared" si="3"/>
        <v>3847708011</v>
      </c>
      <c r="AF59" s="29">
        <f t="shared" si="3"/>
        <v>3390118716</v>
      </c>
      <c r="AG59" s="29">
        <f t="shared" si="3"/>
        <v>2640809704</v>
      </c>
      <c r="AH59" s="30">
        <f t="shared" si="3"/>
        <v>75515173799</v>
      </c>
      <c r="AI59" s="6"/>
    </row>
    <row r="60" spans="1:35">
      <c r="A60" s="387" t="s">
        <v>42</v>
      </c>
      <c r="B60" s="388"/>
      <c r="C60" s="71">
        <f t="shared" ref="C60:AG60" si="4">C46+C59</f>
        <v>2346512464</v>
      </c>
      <c r="D60" s="71">
        <f t="shared" si="4"/>
        <v>4928935813</v>
      </c>
      <c r="E60" s="31">
        <f t="shared" si="4"/>
        <v>3091702114</v>
      </c>
      <c r="F60" s="31">
        <f t="shared" si="4"/>
        <v>5173827755</v>
      </c>
      <c r="G60" s="31">
        <f t="shared" si="4"/>
        <v>4155037498</v>
      </c>
      <c r="H60" s="31">
        <f t="shared" si="4"/>
        <v>0</v>
      </c>
      <c r="I60" s="31">
        <f t="shared" si="4"/>
        <v>0</v>
      </c>
      <c r="J60" s="71">
        <f t="shared" si="4"/>
        <v>5463627225</v>
      </c>
      <c r="K60" s="71">
        <f t="shared" si="4"/>
        <v>2654835092</v>
      </c>
      <c r="L60" s="31">
        <f t="shared" si="4"/>
        <v>6201604998</v>
      </c>
      <c r="M60" s="31">
        <f t="shared" si="4"/>
        <v>0</v>
      </c>
      <c r="N60" s="31">
        <f t="shared" si="4"/>
        <v>6199294647</v>
      </c>
      <c r="O60" s="31">
        <f t="shared" si="4"/>
        <v>0</v>
      </c>
      <c r="P60" s="31">
        <f t="shared" si="4"/>
        <v>0</v>
      </c>
      <c r="Q60" s="31">
        <f t="shared" si="4"/>
        <v>3341832237</v>
      </c>
      <c r="R60" s="31">
        <f t="shared" si="4"/>
        <v>3355127895</v>
      </c>
      <c r="S60" s="31">
        <f t="shared" si="4"/>
        <v>2618152353</v>
      </c>
      <c r="T60" s="31">
        <f t="shared" si="4"/>
        <v>5579014485</v>
      </c>
      <c r="U60" s="31">
        <f t="shared" si="4"/>
        <v>4556832034</v>
      </c>
      <c r="V60" s="31">
        <f t="shared" si="4"/>
        <v>0</v>
      </c>
      <c r="W60" s="31">
        <f t="shared" si="4"/>
        <v>0</v>
      </c>
      <c r="X60" s="31">
        <f t="shared" si="4"/>
        <v>3395317564</v>
      </c>
      <c r="Y60" s="31">
        <f t="shared" si="4"/>
        <v>3117963865</v>
      </c>
      <c r="Z60" s="31">
        <f t="shared" si="4"/>
        <v>3623936989</v>
      </c>
      <c r="AA60" s="31">
        <f t="shared" si="4"/>
        <v>3424093960</v>
      </c>
      <c r="AB60" s="31">
        <f t="shared" si="4"/>
        <v>5784206187</v>
      </c>
      <c r="AC60" s="31">
        <f t="shared" si="4"/>
        <v>0</v>
      </c>
      <c r="AD60" s="31">
        <f t="shared" si="4"/>
        <v>0</v>
      </c>
      <c r="AE60" s="31">
        <f t="shared" si="4"/>
        <v>4873540268</v>
      </c>
      <c r="AF60" s="31">
        <f t="shared" si="4"/>
        <v>3390118716</v>
      </c>
      <c r="AG60" s="31">
        <f t="shared" si="4"/>
        <v>3425526199</v>
      </c>
      <c r="AH60" s="31">
        <f>SUM(C60:AG60)</f>
        <v>90701040358</v>
      </c>
    </row>
    <row r="62" spans="1:35">
      <c r="A62" s="3" t="s">
        <v>50</v>
      </c>
      <c r="C62" s="72">
        <v>10952639830</v>
      </c>
      <c r="D62" s="72">
        <v>10992385542</v>
      </c>
      <c r="E62" s="6">
        <v>9089361802</v>
      </c>
      <c r="F62" s="6">
        <v>8472771670</v>
      </c>
      <c r="G62" s="6">
        <v>6150462521</v>
      </c>
      <c r="H62" s="6"/>
      <c r="J62" s="6">
        <v>10645109489</v>
      </c>
      <c r="K62" s="72">
        <v>8190542478</v>
      </c>
      <c r="L62" s="6">
        <v>8648116323</v>
      </c>
      <c r="M62" s="6"/>
      <c r="N62" s="6">
        <v>7924029880</v>
      </c>
      <c r="O62" s="6"/>
      <c r="P62" s="6"/>
      <c r="Q62" s="6">
        <v>7513834674</v>
      </c>
      <c r="R62" s="6">
        <v>7303293035</v>
      </c>
      <c r="S62" s="6">
        <v>7738308372</v>
      </c>
      <c r="T62" s="6">
        <v>7853055821</v>
      </c>
      <c r="U62" s="6">
        <v>6710102788</v>
      </c>
      <c r="V62" s="6"/>
      <c r="W62" s="6"/>
      <c r="X62" s="6">
        <v>9094349210</v>
      </c>
      <c r="Y62" s="6">
        <v>11733673166</v>
      </c>
      <c r="Z62" s="6">
        <v>11394910562</v>
      </c>
      <c r="AA62" s="6">
        <v>10567688946</v>
      </c>
      <c r="AB62" s="6">
        <v>11284209390</v>
      </c>
      <c r="AD62" s="6"/>
      <c r="AE62" s="6">
        <v>10998305310</v>
      </c>
      <c r="AF62" s="6">
        <v>8264523559</v>
      </c>
      <c r="AG62" s="6">
        <v>8450767668</v>
      </c>
    </row>
    <row r="63" spans="1:35">
      <c r="A63" s="3" t="s">
        <v>110</v>
      </c>
      <c r="C63" s="72"/>
      <c r="D63" s="74"/>
      <c r="E63" s="43"/>
      <c r="F63" s="43"/>
      <c r="G63" s="43"/>
      <c r="H63" s="43"/>
      <c r="I63" s="43"/>
      <c r="J63" s="80"/>
      <c r="K63" s="80"/>
      <c r="M63" s="43"/>
      <c r="N63" s="40">
        <f>N62-N60</f>
        <v>1724735233</v>
      </c>
      <c r="O63" s="40"/>
      <c r="P63" s="40"/>
      <c r="Q63" s="40"/>
      <c r="R63" s="43"/>
      <c r="S63" s="6"/>
      <c r="T63" s="6"/>
      <c r="U63" s="40"/>
      <c r="V63" s="40"/>
      <c r="W63" s="43"/>
      <c r="X63" s="40" t="s">
        <v>108</v>
      </c>
      <c r="Y63" s="40"/>
      <c r="Z63" s="6">
        <f>Z62-Z60</f>
        <v>7770973573</v>
      </c>
      <c r="AA63" s="6">
        <f>AA62-AA60</f>
        <v>7143594986</v>
      </c>
      <c r="AB63" s="40"/>
      <c r="AD63" s="40"/>
      <c r="AF63" s="67">
        <v>571270701</v>
      </c>
      <c r="AG63" s="67">
        <v>615423098</v>
      </c>
      <c r="AH63" s="3" t="s">
        <v>117</v>
      </c>
    </row>
    <row r="64" spans="1:35">
      <c r="C64" s="72"/>
      <c r="O64" s="3" t="s">
        <v>111</v>
      </c>
      <c r="R64" s="6"/>
      <c r="T64" s="6"/>
      <c r="AA64" s="6"/>
      <c r="AF64" s="6"/>
    </row>
    <row r="65" spans="3:25">
      <c r="M65" s="3" t="s">
        <v>112</v>
      </c>
    </row>
    <row r="66" spans="3:25">
      <c r="M66" s="3" t="s">
        <v>112</v>
      </c>
    </row>
    <row r="69" spans="3:25">
      <c r="C69" s="3"/>
      <c r="D69" s="3"/>
    </row>
    <row r="71" spans="3:25" ht="15">
      <c r="C71" s="3"/>
      <c r="D71" s="3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/>
      <c r="X71"/>
      <c r="Y71"/>
    </row>
    <row r="72" spans="3:25" ht="15">
      <c r="C72" s="3"/>
      <c r="D72" s="3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/>
      <c r="X72"/>
      <c r="Y72"/>
    </row>
    <row r="73" spans="3:25" ht="15">
      <c r="C73" s="3"/>
      <c r="D73" s="3"/>
      <c r="M73" s="45"/>
      <c r="N73" s="45"/>
      <c r="O73" s="45"/>
      <c r="P73" s="45"/>
      <c r="Q73" s="45" t="s">
        <v>108</v>
      </c>
      <c r="R73" s="45"/>
      <c r="S73" s="45"/>
      <c r="T73" s="45"/>
      <c r="U73" s="45"/>
      <c r="V73" s="45"/>
      <c r="W73"/>
      <c r="X73"/>
      <c r="Y73"/>
    </row>
    <row r="74" spans="3:25" ht="15">
      <c r="C74" s="3"/>
      <c r="D74" s="3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/>
      <c r="X74"/>
      <c r="Y74"/>
    </row>
    <row r="75" spans="3:25" ht="15">
      <c r="C75" s="3"/>
      <c r="D75" s="3"/>
      <c r="M75" s="45"/>
      <c r="N75" s="45"/>
      <c r="O75" s="45"/>
      <c r="P75" s="45"/>
      <c r="Q75" s="45"/>
      <c r="R75" s="45"/>
      <c r="S75" s="45"/>
      <c r="T75" s="45"/>
      <c r="U75" s="45"/>
      <c r="V75" s="45" t="s">
        <v>95</v>
      </c>
      <c r="W75"/>
      <c r="X75"/>
      <c r="Y75"/>
    </row>
    <row r="76" spans="3:25" ht="15">
      <c r="C76" s="3"/>
      <c r="D76" s="3"/>
      <c r="M76" s="45"/>
      <c r="N76" s="45"/>
      <c r="O76" s="45"/>
      <c r="P76" s="45"/>
      <c r="Q76" s="45"/>
      <c r="R76" s="45"/>
      <c r="S76" s="45"/>
      <c r="T76" s="45"/>
      <c r="U76" s="45"/>
      <c r="V76" s="45" t="s">
        <v>96</v>
      </c>
      <c r="W76"/>
      <c r="X76">
        <v>2</v>
      </c>
      <c r="Y76"/>
    </row>
    <row r="77" spans="3:25" ht="15">
      <c r="C77" s="3"/>
      <c r="D77" s="3"/>
      <c r="M77" s="45" t="s">
        <v>97</v>
      </c>
      <c r="N77" s="45"/>
      <c r="O77" s="45"/>
      <c r="P77" s="45"/>
      <c r="Q77" s="45"/>
      <c r="R77" s="45"/>
      <c r="S77" s="45"/>
      <c r="T77" s="45"/>
      <c r="U77" s="45"/>
      <c r="V77" s="45" t="s">
        <v>98</v>
      </c>
      <c r="W77"/>
      <c r="X77">
        <v>2</v>
      </c>
      <c r="Y77"/>
    </row>
    <row r="78" spans="3:25" ht="15">
      <c r="C78" s="3"/>
      <c r="D78" s="3"/>
      <c r="M78" s="45"/>
      <c r="N78" s="45"/>
      <c r="O78" s="45"/>
      <c r="P78" s="45"/>
      <c r="Q78" s="45"/>
      <c r="R78" s="45"/>
      <c r="S78" s="45"/>
      <c r="T78" s="45"/>
      <c r="U78" s="45"/>
      <c r="V78" s="45" t="s">
        <v>99</v>
      </c>
      <c r="W78"/>
      <c r="X78">
        <v>10</v>
      </c>
      <c r="Y78"/>
    </row>
    <row r="79" spans="3:25" ht="15">
      <c r="C79" s="3"/>
      <c r="D79" s="3"/>
      <c r="M79"/>
      <c r="N79"/>
      <c r="O79" s="46"/>
      <c r="P79" s="46"/>
      <c r="Q79" s="46"/>
      <c r="R79" s="46"/>
      <c r="S79" s="46"/>
      <c r="T79" s="46"/>
      <c r="U79" s="46"/>
      <c r="V79" s="47" t="s">
        <v>100</v>
      </c>
      <c r="W79" s="46" t="s">
        <v>101</v>
      </c>
      <c r="X79"/>
      <c r="Y79"/>
    </row>
    <row r="80" spans="3:25" ht="15">
      <c r="C80" s="3"/>
      <c r="D80" s="3"/>
      <c r="M80"/>
      <c r="N80"/>
      <c r="O80" s="46"/>
      <c r="P80" s="46"/>
      <c r="Q80" s="46"/>
      <c r="R80" s="46"/>
      <c r="S80" s="46"/>
      <c r="T80" s="46"/>
      <c r="U80" s="46"/>
      <c r="V80" s="47"/>
      <c r="W80" s="46"/>
      <c r="X80"/>
      <c r="Y80"/>
    </row>
    <row r="81" spans="3:25" ht="15">
      <c r="C81" s="3"/>
      <c r="D81" s="3"/>
      <c r="M81"/>
      <c r="N81"/>
      <c r="O81" s="46"/>
      <c r="P81" s="46"/>
      <c r="Q81" s="46"/>
      <c r="R81" s="46"/>
      <c r="S81" s="46"/>
      <c r="T81" s="46"/>
      <c r="U81" s="46"/>
      <c r="V81" s="46"/>
      <c r="W81" s="46"/>
      <c r="X81"/>
      <c r="Y81"/>
    </row>
  </sheetData>
  <mergeCells count="2">
    <mergeCell ref="C4:AG4"/>
    <mergeCell ref="A60:B60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96"/>
  <sheetViews>
    <sheetView topLeftCell="A28" zoomScale="80" zoomScaleNormal="80" workbookViewId="0">
      <pane xSplit="1" topLeftCell="F1" activePane="topRight" state="frozen"/>
      <selection activeCell="A10" sqref="A10"/>
      <selection pane="topRight" activeCell="N43" sqref="N43"/>
    </sheetView>
  </sheetViews>
  <sheetFormatPr defaultRowHeight="12.75"/>
  <cols>
    <col min="1" max="1" width="31" style="3" customWidth="1"/>
    <col min="2" max="2" width="10.28515625" style="3" customWidth="1"/>
    <col min="3" max="3" width="18" style="64" customWidth="1"/>
    <col min="4" max="4" width="16.140625" style="64" customWidth="1"/>
    <col min="5" max="5" width="16.140625" style="3" customWidth="1"/>
    <col min="6" max="6" width="17.140625" style="3" customWidth="1"/>
    <col min="7" max="7" width="17.5703125" style="3" customWidth="1"/>
    <col min="8" max="8" width="17" style="3" customWidth="1"/>
    <col min="9" max="9" width="17.42578125" style="3" customWidth="1"/>
    <col min="10" max="10" width="17.5703125" style="64" customWidth="1"/>
    <col min="11" max="11" width="17.140625" style="64" customWidth="1"/>
    <col min="12" max="12" width="16.5703125" style="3" customWidth="1"/>
    <col min="13" max="14" width="17.5703125" style="3" customWidth="1"/>
    <col min="15" max="15" width="18.28515625" style="3" customWidth="1"/>
    <col min="16" max="16" width="16" style="3" customWidth="1"/>
    <col min="17" max="17" width="18.7109375" style="3" customWidth="1"/>
    <col min="18" max="18" width="17.28515625" style="3" customWidth="1"/>
    <col min="19" max="19" width="17.140625" style="3" customWidth="1"/>
    <col min="20" max="20" width="18.28515625" style="3" customWidth="1"/>
    <col min="21" max="22" width="15.28515625" style="3" customWidth="1"/>
    <col min="23" max="23" width="16.5703125" style="3" customWidth="1"/>
    <col min="24" max="24" width="17" style="3" customWidth="1"/>
    <col min="25" max="25" width="16" style="3" customWidth="1"/>
    <col min="26" max="26" width="15.28515625" style="3" customWidth="1"/>
    <col min="27" max="27" width="17" style="3" customWidth="1"/>
    <col min="28" max="28" width="15.5703125" style="3" customWidth="1"/>
    <col min="29" max="29" width="16.140625" style="3" customWidth="1"/>
    <col min="30" max="30" width="21.7109375" style="3" customWidth="1"/>
    <col min="31" max="31" width="16.28515625" style="3" customWidth="1"/>
    <col min="32" max="32" width="17.5703125" style="3" customWidth="1"/>
    <col min="33" max="33" width="15" style="3" customWidth="1"/>
    <col min="34" max="34" width="20.28515625" style="3" customWidth="1"/>
    <col min="35" max="35" width="13" style="3" customWidth="1"/>
    <col min="36" max="36" width="12.85546875" style="3" customWidth="1"/>
    <col min="37" max="37" width="11.28515625" style="3" bestFit="1" customWidth="1"/>
    <col min="38" max="16384" width="9.140625" style="3"/>
  </cols>
  <sheetData>
    <row r="1" spans="1:35">
      <c r="A1" s="1" t="s">
        <v>0</v>
      </c>
      <c r="B1" s="2"/>
      <c r="C1" s="62"/>
      <c r="D1" s="62"/>
      <c r="E1" s="2"/>
      <c r="F1" s="2"/>
      <c r="G1" s="2"/>
      <c r="H1" s="2"/>
      <c r="I1" s="2"/>
      <c r="J1" s="62"/>
      <c r="K1" s="6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s="6" customFormat="1">
      <c r="A2" s="4" t="s">
        <v>1</v>
      </c>
      <c r="B2" s="5"/>
      <c r="C2" s="63"/>
      <c r="D2" s="63"/>
      <c r="E2" s="5"/>
      <c r="F2" s="5"/>
      <c r="G2" s="5"/>
      <c r="H2" s="5"/>
      <c r="I2" s="5"/>
      <c r="J2" s="63"/>
      <c r="K2" s="63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>
      <c r="A3" s="7" t="s">
        <v>2</v>
      </c>
      <c r="B3" s="8">
        <v>44287</v>
      </c>
      <c r="C3" s="63"/>
      <c r="D3" s="63"/>
      <c r="E3" s="5"/>
      <c r="F3" s="5"/>
      <c r="G3" s="5"/>
      <c r="H3" s="5"/>
      <c r="I3" s="5"/>
      <c r="J3" s="63"/>
      <c r="K3" s="63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>
      <c r="A4" s="34" t="s">
        <v>3</v>
      </c>
      <c r="B4" s="35" t="s">
        <v>4</v>
      </c>
      <c r="C4" s="384" t="s">
        <v>5</v>
      </c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6"/>
      <c r="AH4" s="36" t="s">
        <v>6</v>
      </c>
      <c r="AI4" s="6"/>
    </row>
    <row r="5" spans="1:35">
      <c r="A5" s="34"/>
      <c r="B5" s="35"/>
      <c r="C5" s="37">
        <v>92</v>
      </c>
      <c r="D5" s="37">
        <v>93</v>
      </c>
      <c r="E5" s="37">
        <v>94</v>
      </c>
      <c r="F5" s="37">
        <v>95</v>
      </c>
      <c r="G5" s="37">
        <v>96</v>
      </c>
      <c r="H5" s="37">
        <v>97</v>
      </c>
      <c r="I5" s="37">
        <v>98</v>
      </c>
      <c r="J5" s="37">
        <v>99</v>
      </c>
      <c r="K5" s="37">
        <v>100</v>
      </c>
      <c r="L5" s="37">
        <v>101</v>
      </c>
      <c r="M5" s="37">
        <v>102</v>
      </c>
      <c r="N5" s="37">
        <v>103</v>
      </c>
      <c r="O5" s="37">
        <v>104</v>
      </c>
      <c r="P5" s="37">
        <v>105</v>
      </c>
      <c r="Q5" s="37">
        <v>106</v>
      </c>
      <c r="R5" s="37">
        <v>107</v>
      </c>
      <c r="S5" s="37">
        <v>108</v>
      </c>
      <c r="T5" s="37">
        <v>109</v>
      </c>
      <c r="U5" s="37">
        <v>110</v>
      </c>
      <c r="V5" s="37">
        <v>111</v>
      </c>
      <c r="W5" s="37">
        <v>112</v>
      </c>
      <c r="X5" s="37">
        <v>113</v>
      </c>
      <c r="Y5" s="37">
        <v>114</v>
      </c>
      <c r="Z5" s="37">
        <v>115</v>
      </c>
      <c r="AA5" s="37">
        <v>116</v>
      </c>
      <c r="AB5" s="37">
        <v>117</v>
      </c>
      <c r="AC5" s="37">
        <v>118</v>
      </c>
      <c r="AD5" s="37">
        <v>119</v>
      </c>
      <c r="AE5" s="37">
        <v>120</v>
      </c>
      <c r="AF5" s="37">
        <v>121</v>
      </c>
      <c r="AG5" s="37">
        <v>122</v>
      </c>
      <c r="AH5" s="36"/>
      <c r="AI5" s="6"/>
    </row>
    <row r="6" spans="1:35">
      <c r="A6" s="10" t="s">
        <v>7</v>
      </c>
      <c r="B6" s="11"/>
      <c r="C6" s="13"/>
      <c r="D6" s="13"/>
      <c r="E6" s="14"/>
      <c r="F6" s="14"/>
      <c r="G6" s="14"/>
      <c r="H6" s="14"/>
      <c r="I6" s="14"/>
      <c r="J6" s="13"/>
      <c r="K6" s="13"/>
      <c r="L6" s="14"/>
      <c r="M6" s="14"/>
      <c r="N6" s="14"/>
      <c r="O6" s="13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13"/>
      <c r="AC6" s="14"/>
      <c r="AD6" s="14"/>
      <c r="AE6" s="14"/>
      <c r="AF6" s="14"/>
      <c r="AG6" s="14"/>
      <c r="AH6" s="12"/>
      <c r="AI6" s="6"/>
    </row>
    <row r="7" spans="1:35">
      <c r="A7" s="15" t="s">
        <v>48</v>
      </c>
      <c r="B7" s="11"/>
      <c r="C7" s="13"/>
      <c r="D7" s="73"/>
      <c r="E7" s="48"/>
      <c r="F7" s="48"/>
      <c r="G7" s="48"/>
      <c r="H7" s="49"/>
      <c r="I7" s="48"/>
      <c r="J7" s="73"/>
      <c r="K7" s="73"/>
      <c r="L7" s="48"/>
      <c r="M7" s="48"/>
      <c r="N7" s="87"/>
      <c r="O7" s="50"/>
      <c r="P7" s="48"/>
      <c r="Q7" s="48"/>
      <c r="R7" s="73">
        <v>1072083870</v>
      </c>
      <c r="S7" s="49"/>
      <c r="T7" s="73"/>
      <c r="U7" s="73">
        <v>425327760</v>
      </c>
      <c r="V7" s="48"/>
      <c r="W7" s="48"/>
      <c r="X7" s="48"/>
      <c r="Y7" s="48"/>
      <c r="Z7" s="48"/>
      <c r="AA7" s="48"/>
      <c r="AB7" s="79"/>
      <c r="AC7" s="48"/>
      <c r="AD7" s="48"/>
      <c r="AE7" s="48"/>
      <c r="AF7" s="48"/>
      <c r="AG7" s="48"/>
      <c r="AH7" s="14">
        <f t="shared" ref="AH7:AH27" si="0">SUM(C7:AG7)</f>
        <v>1497411630</v>
      </c>
      <c r="AI7" s="17"/>
    </row>
    <row r="8" spans="1:35">
      <c r="A8" s="15" t="s">
        <v>49</v>
      </c>
      <c r="B8" s="11"/>
      <c r="C8" s="13"/>
      <c r="D8" s="73"/>
      <c r="E8" s="48"/>
      <c r="F8" s="48"/>
      <c r="G8" s="48"/>
      <c r="H8" s="48"/>
      <c r="I8" s="48"/>
      <c r="J8" s="73"/>
      <c r="K8" s="73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79"/>
      <c r="AC8" s="48"/>
      <c r="AD8" s="48"/>
      <c r="AE8" s="48"/>
      <c r="AF8" s="48"/>
      <c r="AG8" s="48"/>
      <c r="AH8" s="14">
        <f t="shared" si="0"/>
        <v>0</v>
      </c>
      <c r="AI8" s="17"/>
    </row>
    <row r="9" spans="1:35">
      <c r="A9" s="15" t="s">
        <v>8</v>
      </c>
      <c r="B9" s="11"/>
      <c r="C9" s="89"/>
      <c r="D9" s="73"/>
      <c r="E9" s="48"/>
      <c r="F9" s="73"/>
      <c r="G9" s="48"/>
      <c r="H9" s="48"/>
      <c r="I9" s="48"/>
      <c r="J9" s="84"/>
      <c r="K9" s="73"/>
      <c r="L9" s="73"/>
      <c r="M9" s="48"/>
      <c r="N9" s="50"/>
      <c r="O9" s="48"/>
      <c r="P9" s="48"/>
      <c r="Q9" s="73">
        <v>152984949</v>
      </c>
      <c r="R9" s="73"/>
      <c r="S9" s="48"/>
      <c r="T9" s="48"/>
      <c r="U9" s="73"/>
      <c r="V9" s="73">
        <v>132698206</v>
      </c>
      <c r="W9" s="48"/>
      <c r="X9" s="48"/>
      <c r="Y9" s="48"/>
      <c r="Z9" s="48"/>
      <c r="AA9" s="48"/>
      <c r="AB9" s="79"/>
      <c r="AC9" s="48"/>
      <c r="AD9" s="48"/>
      <c r="AE9" s="73"/>
      <c r="AF9" s="48"/>
      <c r="AG9" s="48"/>
      <c r="AH9" s="14">
        <f t="shared" si="0"/>
        <v>285683155</v>
      </c>
      <c r="AI9" s="17"/>
    </row>
    <row r="10" spans="1:35">
      <c r="A10" s="15" t="s">
        <v>9</v>
      </c>
      <c r="B10" s="11"/>
      <c r="C10" s="89"/>
      <c r="D10" s="73"/>
      <c r="E10" s="48"/>
      <c r="F10" s="48"/>
      <c r="G10" s="48"/>
      <c r="H10" s="48"/>
      <c r="I10" s="48"/>
      <c r="J10" s="84"/>
      <c r="K10" s="73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79"/>
      <c r="AC10" s="48"/>
      <c r="AD10" s="48"/>
      <c r="AE10" s="48"/>
      <c r="AF10" s="48"/>
      <c r="AG10" s="48"/>
      <c r="AH10" s="14">
        <f>SUM(C10:AG10)</f>
        <v>0</v>
      </c>
      <c r="AI10" s="17"/>
    </row>
    <row r="11" spans="1:35">
      <c r="A11" s="15" t="s">
        <v>10</v>
      </c>
      <c r="B11" s="11"/>
      <c r="C11" s="101"/>
      <c r="D11" s="102"/>
      <c r="E11" s="48"/>
      <c r="F11" s="50"/>
      <c r="G11" s="50"/>
      <c r="H11" s="48"/>
      <c r="I11" s="48"/>
      <c r="J11" s="101"/>
      <c r="K11" s="102"/>
      <c r="L11" s="49"/>
      <c r="M11" s="73"/>
      <c r="N11" s="49"/>
      <c r="O11" s="50"/>
      <c r="P11" s="48"/>
      <c r="Q11" s="48"/>
      <c r="R11" s="48"/>
      <c r="S11" s="48"/>
      <c r="T11" s="49"/>
      <c r="U11" s="48"/>
      <c r="V11" s="48"/>
      <c r="W11" s="48"/>
      <c r="X11" s="48"/>
      <c r="Y11" s="48"/>
      <c r="Z11" s="48"/>
      <c r="AA11" s="48"/>
      <c r="AB11" s="49"/>
      <c r="AC11" s="48"/>
      <c r="AD11" s="48"/>
      <c r="AE11" s="48"/>
      <c r="AF11" s="48"/>
      <c r="AG11" s="48"/>
      <c r="AH11" s="14">
        <f>SUM(E11:AG11)</f>
        <v>0</v>
      </c>
      <c r="AI11" s="17"/>
    </row>
    <row r="12" spans="1:35">
      <c r="A12" s="15" t="s">
        <v>11</v>
      </c>
      <c r="B12" s="11"/>
      <c r="C12" s="89"/>
      <c r="D12" s="73"/>
      <c r="E12" s="48"/>
      <c r="F12" s="48"/>
      <c r="G12" s="48"/>
      <c r="H12" s="48"/>
      <c r="I12" s="48"/>
      <c r="J12" s="84"/>
      <c r="K12" s="73"/>
      <c r="L12" s="79"/>
      <c r="M12" s="48"/>
      <c r="N12" s="48"/>
      <c r="O12" s="48"/>
      <c r="P12" s="48"/>
      <c r="Q12" s="48"/>
      <c r="R12" s="48"/>
      <c r="S12" s="48"/>
      <c r="T12" s="73"/>
      <c r="U12" s="48"/>
      <c r="V12" s="48"/>
      <c r="W12" s="48"/>
      <c r="X12" s="48"/>
      <c r="Y12" s="48"/>
      <c r="Z12" s="48"/>
      <c r="AA12" s="48"/>
      <c r="AB12" s="79"/>
      <c r="AC12" s="48"/>
      <c r="AD12" s="48"/>
      <c r="AE12" s="48"/>
      <c r="AF12" s="48"/>
      <c r="AG12" s="48"/>
      <c r="AH12" s="14">
        <f t="shared" si="0"/>
        <v>0</v>
      </c>
      <c r="AI12" s="17"/>
    </row>
    <row r="13" spans="1:35">
      <c r="A13" s="18" t="s">
        <v>12</v>
      </c>
      <c r="B13" s="11"/>
      <c r="C13" s="89"/>
      <c r="D13" s="73"/>
      <c r="E13" s="48"/>
      <c r="F13" s="48"/>
      <c r="G13" s="48"/>
      <c r="H13" s="48"/>
      <c r="I13" s="48"/>
      <c r="J13" s="84"/>
      <c r="K13" s="73"/>
      <c r="L13" s="79"/>
      <c r="M13" s="48"/>
      <c r="N13" s="48"/>
      <c r="O13" s="48"/>
      <c r="P13" s="48"/>
      <c r="Q13" s="48"/>
      <c r="R13" s="48"/>
      <c r="S13" s="48"/>
      <c r="T13" s="73"/>
      <c r="U13" s="48"/>
      <c r="V13" s="48"/>
      <c r="W13" s="48"/>
      <c r="X13" s="48"/>
      <c r="Y13" s="48"/>
      <c r="Z13" s="48"/>
      <c r="AA13" s="48"/>
      <c r="AB13" s="100"/>
      <c r="AC13" s="48"/>
      <c r="AD13" s="48"/>
      <c r="AE13" s="48"/>
      <c r="AF13" s="48"/>
      <c r="AG13" s="48"/>
      <c r="AH13" s="14">
        <f t="shared" si="0"/>
        <v>0</v>
      </c>
      <c r="AI13" s="17"/>
    </row>
    <row r="14" spans="1:35">
      <c r="A14" s="18" t="s">
        <v>13</v>
      </c>
      <c r="B14" s="11"/>
      <c r="C14" s="13"/>
      <c r="D14" s="73"/>
      <c r="E14" s="48"/>
      <c r="F14" s="48"/>
      <c r="G14" s="48"/>
      <c r="H14" s="48"/>
      <c r="I14" s="48"/>
      <c r="J14" s="73"/>
      <c r="K14" s="73"/>
      <c r="L14" s="48"/>
      <c r="M14" s="48"/>
      <c r="N14" s="48"/>
      <c r="O14" s="48"/>
      <c r="P14" s="48"/>
      <c r="Q14" s="48"/>
      <c r="R14" s="48"/>
      <c r="S14" s="48"/>
      <c r="T14" s="73"/>
      <c r="U14" s="48"/>
      <c r="V14" s="57"/>
      <c r="W14" s="48"/>
      <c r="X14" s="48"/>
      <c r="Y14" s="48"/>
      <c r="Z14" s="48"/>
      <c r="AA14" s="48"/>
      <c r="AB14" s="79"/>
      <c r="AC14" s="48"/>
      <c r="AD14" s="48"/>
      <c r="AE14" s="48"/>
      <c r="AF14" s="48"/>
      <c r="AG14" s="48"/>
      <c r="AH14" s="14">
        <f>SUM(C14:AG14)</f>
        <v>0</v>
      </c>
      <c r="AI14" s="17"/>
    </row>
    <row r="15" spans="1:35">
      <c r="A15" s="18" t="s">
        <v>14</v>
      </c>
      <c r="B15" s="11"/>
      <c r="C15" s="13"/>
      <c r="D15" s="73"/>
      <c r="E15" s="48"/>
      <c r="F15" s="48"/>
      <c r="G15" s="48"/>
      <c r="H15" s="48"/>
      <c r="I15" s="48"/>
      <c r="J15" s="73"/>
      <c r="K15" s="73"/>
      <c r="L15" s="48"/>
      <c r="M15" s="48"/>
      <c r="N15" s="48"/>
      <c r="O15" s="48"/>
      <c r="P15" s="48"/>
      <c r="Q15" s="48"/>
      <c r="R15" s="79"/>
      <c r="S15" s="48"/>
      <c r="T15" s="73"/>
      <c r="U15" s="48"/>
      <c r="V15" s="57"/>
      <c r="W15" s="48"/>
      <c r="X15" s="48"/>
      <c r="Y15" s="48"/>
      <c r="Z15" s="48"/>
      <c r="AA15" s="48"/>
      <c r="AB15" s="79"/>
      <c r="AC15" s="48"/>
      <c r="AD15" s="48"/>
      <c r="AE15" s="48"/>
      <c r="AF15" s="48"/>
      <c r="AG15" s="48"/>
      <c r="AH15" s="14">
        <f>SUM(C15:AG15)</f>
        <v>0</v>
      </c>
      <c r="AI15" s="17"/>
    </row>
    <row r="16" spans="1:35">
      <c r="A16" s="15" t="s">
        <v>15</v>
      </c>
      <c r="B16" s="11"/>
      <c r="C16" s="13"/>
      <c r="D16" s="73"/>
      <c r="E16" s="48"/>
      <c r="F16" s="48"/>
      <c r="G16" s="50"/>
      <c r="H16" s="87"/>
      <c r="I16" s="48"/>
      <c r="J16" s="102"/>
      <c r="K16" s="102"/>
      <c r="L16" s="50"/>
      <c r="M16" s="50"/>
      <c r="N16" s="50"/>
      <c r="O16" s="48"/>
      <c r="P16" s="48"/>
      <c r="Q16" s="73"/>
      <c r="R16" s="79"/>
      <c r="S16" s="48"/>
      <c r="T16" s="73"/>
      <c r="U16" s="48"/>
      <c r="V16" s="57"/>
      <c r="W16" s="48"/>
      <c r="X16" s="50"/>
      <c r="Y16" s="87"/>
      <c r="Z16" s="48"/>
      <c r="AA16" s="48"/>
      <c r="AB16" s="84"/>
      <c r="AC16" s="48"/>
      <c r="AD16" s="48"/>
      <c r="AE16" s="73"/>
      <c r="AF16" s="48"/>
      <c r="AG16" s="48"/>
      <c r="AH16" s="14">
        <f t="shared" si="0"/>
        <v>0</v>
      </c>
      <c r="AI16" s="17"/>
    </row>
    <row r="17" spans="1:37">
      <c r="A17" s="15" t="s">
        <v>16</v>
      </c>
      <c r="B17" s="11"/>
      <c r="C17" s="102"/>
      <c r="D17" s="13"/>
      <c r="E17" s="50"/>
      <c r="F17" s="50"/>
      <c r="G17" s="94"/>
      <c r="H17" s="50"/>
      <c r="I17" s="50"/>
      <c r="J17" s="102"/>
      <c r="K17" s="102"/>
      <c r="L17" s="50"/>
      <c r="M17" s="50"/>
      <c r="N17" s="87">
        <v>213380871</v>
      </c>
      <c r="O17" s="50"/>
      <c r="P17" s="48"/>
      <c r="Q17" s="94"/>
      <c r="S17" s="13"/>
      <c r="T17" s="73"/>
      <c r="U17" s="41"/>
      <c r="V17" s="94">
        <v>221478989</v>
      </c>
      <c r="X17" s="73">
        <v>84409454</v>
      </c>
      <c r="Y17" s="73">
        <v>147599237</v>
      </c>
      <c r="Z17" s="48"/>
      <c r="AA17" s="48"/>
      <c r="AB17" s="114">
        <v>277275797</v>
      </c>
      <c r="AC17" s="48"/>
      <c r="AD17" s="48"/>
      <c r="AE17" s="48"/>
      <c r="AF17" s="48"/>
      <c r="AG17" s="48"/>
      <c r="AH17" s="14">
        <f>SUM(H17:AG17)</f>
        <v>944144348</v>
      </c>
      <c r="AI17" s="17"/>
    </row>
    <row r="18" spans="1:37">
      <c r="A18" s="15"/>
      <c r="B18" s="11"/>
      <c r="C18" s="102"/>
      <c r="D18" s="102"/>
      <c r="E18" s="50"/>
      <c r="F18" s="50"/>
      <c r="G18" s="94"/>
      <c r="H18" s="50"/>
      <c r="I18" s="50"/>
      <c r="J18" s="102"/>
      <c r="K18" s="102"/>
      <c r="L18" s="50"/>
      <c r="M18" s="50"/>
      <c r="N18" s="50"/>
      <c r="O18" s="50"/>
      <c r="P18" s="48"/>
      <c r="Q18" s="50"/>
      <c r="R18" s="103"/>
      <c r="S18" s="50"/>
      <c r="T18" s="50"/>
      <c r="U18" s="50"/>
      <c r="V18" s="48"/>
      <c r="W18" s="48"/>
      <c r="X18" s="50"/>
      <c r="Y18" s="50"/>
      <c r="Z18" s="50"/>
      <c r="AA18" s="50"/>
      <c r="AB18" s="103"/>
      <c r="AC18" s="48"/>
      <c r="AD18" s="86"/>
      <c r="AE18" s="48"/>
      <c r="AF18" s="48"/>
      <c r="AG18" s="48"/>
      <c r="AH18" s="14"/>
      <c r="AI18" s="17"/>
    </row>
    <row r="19" spans="1:37">
      <c r="A19" s="15" t="s">
        <v>17</v>
      </c>
      <c r="B19" s="11"/>
      <c r="C19" s="13"/>
      <c r="D19" s="73"/>
      <c r="E19" s="48"/>
      <c r="F19" s="48"/>
      <c r="G19" s="50"/>
      <c r="H19" s="48"/>
      <c r="I19" s="48"/>
      <c r="J19" s="73"/>
      <c r="K19" s="73"/>
      <c r="L19" s="50"/>
      <c r="M19" s="50"/>
      <c r="N19" s="50"/>
      <c r="O19" s="48"/>
      <c r="P19" s="48"/>
      <c r="Q19" s="73"/>
      <c r="R19" s="48"/>
      <c r="S19" s="57"/>
      <c r="T19" s="73"/>
      <c r="U19" s="48"/>
      <c r="V19" s="48"/>
      <c r="W19" s="48"/>
      <c r="X19" s="48"/>
      <c r="Y19" s="48"/>
      <c r="Z19" s="48"/>
      <c r="AA19" s="48"/>
      <c r="AB19" s="79"/>
      <c r="AC19" s="48"/>
      <c r="AD19" s="86"/>
      <c r="AE19" s="48"/>
      <c r="AF19" s="48"/>
      <c r="AG19" s="48"/>
      <c r="AH19" s="14">
        <f t="shared" si="0"/>
        <v>0</v>
      </c>
      <c r="AI19" s="17"/>
    </row>
    <row r="20" spans="1:37">
      <c r="A20" s="15" t="s">
        <v>18</v>
      </c>
      <c r="B20" s="11"/>
      <c r="C20" s="13"/>
      <c r="D20" s="73"/>
      <c r="E20" s="48"/>
      <c r="F20" s="48"/>
      <c r="G20" s="48"/>
      <c r="H20" s="48"/>
      <c r="I20" s="48"/>
      <c r="J20" s="73"/>
      <c r="K20" s="73"/>
      <c r="L20" s="50"/>
      <c r="M20" s="48"/>
      <c r="N20" s="48"/>
      <c r="O20" s="48"/>
      <c r="P20" s="48"/>
      <c r="Q20" s="48"/>
      <c r="R20" s="48"/>
      <c r="S20" s="100"/>
      <c r="T20" s="73"/>
      <c r="U20" s="48"/>
      <c r="V20" s="48"/>
      <c r="W20" s="50"/>
      <c r="X20" s="48"/>
      <c r="Y20" s="48"/>
      <c r="Z20" s="48"/>
      <c r="AA20" s="48"/>
      <c r="AB20" s="79"/>
      <c r="AC20" s="48"/>
      <c r="AD20" s="86"/>
      <c r="AE20" s="48"/>
      <c r="AF20" s="48"/>
      <c r="AG20" s="48"/>
      <c r="AH20" s="14">
        <f t="shared" si="0"/>
        <v>0</v>
      </c>
      <c r="AI20" s="17"/>
    </row>
    <row r="21" spans="1:37" ht="15">
      <c r="A21" s="15" t="s">
        <v>19</v>
      </c>
      <c r="B21" s="11"/>
      <c r="C21" s="13"/>
      <c r="D21" s="73"/>
      <c r="E21" s="48"/>
      <c r="F21" s="50"/>
      <c r="G21" s="50"/>
      <c r="H21" s="48"/>
      <c r="I21" s="51"/>
      <c r="J21" s="102"/>
      <c r="K21" s="94"/>
      <c r="L21" s="50"/>
      <c r="M21" s="50"/>
      <c r="N21" s="50"/>
      <c r="O21" s="50"/>
      <c r="P21" s="48"/>
      <c r="Q21" s="50"/>
      <c r="R21" s="50"/>
      <c r="S21" s="95"/>
      <c r="T21" s="73"/>
      <c r="U21" s="48"/>
      <c r="V21" s="48"/>
      <c r="W21" s="48"/>
      <c r="X21" s="73"/>
      <c r="Y21" s="48"/>
      <c r="Z21" s="48"/>
      <c r="AA21" s="48"/>
      <c r="AB21" s="84"/>
      <c r="AC21" s="48"/>
      <c r="AD21" s="86"/>
      <c r="AE21" s="48"/>
      <c r="AF21" s="48"/>
      <c r="AG21" s="48"/>
      <c r="AH21" s="14">
        <f t="shared" si="0"/>
        <v>0</v>
      </c>
      <c r="AI21" s="17"/>
    </row>
    <row r="22" spans="1:37">
      <c r="A22" s="15" t="s">
        <v>20</v>
      </c>
      <c r="B22" s="11"/>
      <c r="C22" s="13"/>
      <c r="D22" s="73"/>
      <c r="E22" s="48"/>
      <c r="F22" s="48"/>
      <c r="G22" s="73"/>
      <c r="H22" s="48"/>
      <c r="I22" s="48"/>
      <c r="J22" s="84"/>
      <c r="K22" s="73"/>
      <c r="L22" s="103"/>
      <c r="M22" s="50"/>
      <c r="N22" s="79"/>
      <c r="O22" s="48"/>
      <c r="P22" s="48"/>
      <c r="Q22" s="48"/>
      <c r="R22" s="48"/>
      <c r="S22" s="100"/>
      <c r="T22" s="73"/>
      <c r="U22" s="73">
        <v>191436971</v>
      </c>
      <c r="V22" s="48"/>
      <c r="W22" s="73">
        <f>67988389-41106504</f>
        <v>26881885</v>
      </c>
      <c r="X22" s="73"/>
      <c r="Y22" s="48"/>
      <c r="Z22" s="48"/>
      <c r="AA22" s="48"/>
      <c r="AB22" s="79"/>
      <c r="AC22" s="48"/>
      <c r="AD22" s="86"/>
      <c r="AE22" s="48"/>
      <c r="AF22" s="48"/>
      <c r="AG22" s="48"/>
      <c r="AH22" s="14">
        <f t="shared" si="0"/>
        <v>218318856</v>
      </c>
      <c r="AI22" s="17"/>
    </row>
    <row r="23" spans="1:37">
      <c r="A23" s="15" t="s">
        <v>43</v>
      </c>
      <c r="B23" s="11"/>
      <c r="C23" s="13">
        <v>65577600</v>
      </c>
      <c r="D23" s="73"/>
      <c r="E23" s="48"/>
      <c r="F23" s="48"/>
      <c r="G23" s="73">
        <v>64666800</v>
      </c>
      <c r="H23" s="48"/>
      <c r="I23" s="48"/>
      <c r="J23" s="84"/>
      <c r="K23" s="73"/>
      <c r="L23" s="50"/>
      <c r="M23" s="73"/>
      <c r="N23" s="79"/>
      <c r="O23" s="48"/>
      <c r="P23" s="48"/>
      <c r="Q23" s="73"/>
      <c r="R23" s="48"/>
      <c r="S23" s="95"/>
      <c r="T23" s="73"/>
      <c r="U23" s="73">
        <v>198453200</v>
      </c>
      <c r="V23" s="48"/>
      <c r="W23" s="48"/>
      <c r="X23" s="73"/>
      <c r="Y23" s="48"/>
      <c r="Z23" s="48"/>
      <c r="AA23" s="73"/>
      <c r="AB23" s="84"/>
      <c r="AC23" s="48"/>
      <c r="AD23" s="114">
        <v>72214296</v>
      </c>
      <c r="AE23" s="73">
        <v>59202000</v>
      </c>
      <c r="AF23" s="48"/>
      <c r="AG23" s="73"/>
      <c r="AH23" s="14">
        <f t="shared" si="0"/>
        <v>460113896</v>
      </c>
      <c r="AI23" s="17">
        <f>390501249-392501249</f>
        <v>-2000000</v>
      </c>
    </row>
    <row r="24" spans="1:37">
      <c r="A24" s="15" t="s">
        <v>44</v>
      </c>
      <c r="B24" s="11"/>
      <c r="C24" s="13"/>
      <c r="D24" s="93"/>
      <c r="E24" s="73"/>
      <c r="F24" s="48"/>
      <c r="G24" s="73">
        <f>71136396-55387000</f>
        <v>15749396</v>
      </c>
      <c r="H24" s="48"/>
      <c r="I24" s="48"/>
      <c r="J24" s="84"/>
      <c r="K24" s="73"/>
      <c r="L24" s="49"/>
      <c r="M24" s="48"/>
      <c r="N24" s="87">
        <f>132178939-41874900</f>
        <v>90304039</v>
      </c>
      <c r="O24" s="48"/>
      <c r="P24" s="48"/>
      <c r="Q24" s="73"/>
      <c r="R24" s="73"/>
      <c r="S24" s="100"/>
      <c r="T24" s="73"/>
      <c r="U24" s="48"/>
      <c r="V24" s="48"/>
      <c r="W24" s="48"/>
      <c r="X24" s="48"/>
      <c r="Y24" s="48"/>
      <c r="Z24" s="48"/>
      <c r="AA24" s="48"/>
      <c r="AB24" s="84">
        <f>144853632-79024973</f>
        <v>65828659</v>
      </c>
      <c r="AC24" s="48"/>
      <c r="AD24" s="118"/>
      <c r="AE24" s="48"/>
      <c r="AF24" s="87"/>
      <c r="AG24" s="48"/>
      <c r="AH24" s="14">
        <f>SUM(C24:AG24)</f>
        <v>171882094</v>
      </c>
    </row>
    <row r="25" spans="1:37">
      <c r="A25" s="15" t="s">
        <v>21</v>
      </c>
      <c r="B25" s="11"/>
      <c r="C25" s="13"/>
      <c r="D25" s="93"/>
      <c r="E25" s="48"/>
      <c r="F25" s="48"/>
      <c r="G25" s="48"/>
      <c r="H25" s="48"/>
      <c r="I25" s="48"/>
      <c r="J25" s="84"/>
      <c r="K25" s="73"/>
      <c r="L25" s="50"/>
      <c r="M25" s="48"/>
      <c r="N25" s="48"/>
      <c r="O25" s="48"/>
      <c r="P25" s="57"/>
      <c r="Q25" s="48"/>
      <c r="R25" s="48"/>
      <c r="S25" s="100"/>
      <c r="T25" s="73"/>
      <c r="U25" s="73">
        <f>104239253-35894856</f>
        <v>68344397</v>
      </c>
      <c r="V25" s="48"/>
      <c r="W25" s="48"/>
      <c r="X25" s="73"/>
      <c r="Y25" s="48"/>
      <c r="Z25" s="48"/>
      <c r="AA25" s="73"/>
      <c r="AB25" s="79"/>
      <c r="AC25" s="48"/>
      <c r="AD25" s="118"/>
      <c r="AE25" s="48"/>
      <c r="AF25" s="48"/>
      <c r="AG25" s="48"/>
      <c r="AH25" s="14">
        <f t="shared" si="0"/>
        <v>68344397</v>
      </c>
      <c r="AI25" s="17"/>
    </row>
    <row r="26" spans="1:37">
      <c r="A26" s="15" t="s">
        <v>22</v>
      </c>
      <c r="B26" s="11"/>
      <c r="C26" s="13"/>
      <c r="D26" s="93"/>
      <c r="E26" s="48"/>
      <c r="F26" s="48"/>
      <c r="G26" s="48"/>
      <c r="H26" s="48"/>
      <c r="I26" s="48"/>
      <c r="J26" s="73"/>
      <c r="K26" s="73"/>
      <c r="L26" s="50"/>
      <c r="M26" s="48"/>
      <c r="N26" s="48"/>
      <c r="O26" s="48"/>
      <c r="P26" s="100"/>
      <c r="Q26" s="48"/>
      <c r="R26" s="48"/>
      <c r="S26" s="100"/>
      <c r="T26" s="73"/>
      <c r="U26" s="79"/>
      <c r="V26" s="48"/>
      <c r="W26" s="48"/>
      <c r="X26" s="48"/>
      <c r="Y26" s="48"/>
      <c r="Z26" s="48"/>
      <c r="AA26" s="48"/>
      <c r="AB26" s="79"/>
      <c r="AC26" s="48"/>
      <c r="AD26" s="118"/>
      <c r="AE26" s="48"/>
      <c r="AF26" s="48"/>
      <c r="AG26" s="48"/>
      <c r="AH26" s="14">
        <f t="shared" si="0"/>
        <v>0</v>
      </c>
      <c r="AI26" s="17"/>
    </row>
    <row r="27" spans="1:37">
      <c r="A27" s="15" t="s">
        <v>23</v>
      </c>
      <c r="B27" s="11"/>
      <c r="C27" s="13"/>
      <c r="D27" s="93"/>
      <c r="E27" s="48"/>
      <c r="F27" s="50"/>
      <c r="G27" s="73"/>
      <c r="H27" s="48"/>
      <c r="I27" s="48"/>
      <c r="J27" s="73"/>
      <c r="K27" s="73"/>
      <c r="L27" s="50"/>
      <c r="M27" s="48"/>
      <c r="N27" s="48"/>
      <c r="O27" s="41"/>
      <c r="Q27" s="41"/>
      <c r="R27" s="41"/>
      <c r="T27" s="73"/>
      <c r="U27" s="84">
        <v>239740000</v>
      </c>
      <c r="V27" s="48"/>
      <c r="W27" s="48"/>
      <c r="X27" s="73">
        <v>239500000</v>
      </c>
      <c r="Y27" s="48"/>
      <c r="Z27" s="50"/>
      <c r="AA27" s="50"/>
      <c r="AB27" s="103"/>
      <c r="AC27" s="48"/>
      <c r="AD27" s="118"/>
      <c r="AE27" s="73">
        <v>240579500</v>
      </c>
      <c r="AF27" s="48"/>
      <c r="AG27" s="48"/>
      <c r="AH27" s="14">
        <f t="shared" si="0"/>
        <v>719819500</v>
      </c>
      <c r="AI27" s="17"/>
    </row>
    <row r="28" spans="1:37">
      <c r="A28" s="15" t="s">
        <v>45</v>
      </c>
      <c r="B28" s="11"/>
      <c r="C28" s="78"/>
      <c r="E28" s="50"/>
      <c r="F28" s="50"/>
      <c r="G28" s="41"/>
      <c r="H28" s="41"/>
      <c r="I28" s="41"/>
      <c r="J28" s="78"/>
      <c r="K28" s="78"/>
      <c r="L28" s="50"/>
      <c r="M28" s="50"/>
      <c r="N28" s="41"/>
      <c r="O28" s="65">
        <v>142931250</v>
      </c>
      <c r="P28" s="79"/>
      <c r="Q28" s="50"/>
      <c r="R28" s="94">
        <v>17151750</v>
      </c>
      <c r="S28" s="107"/>
      <c r="T28" s="94"/>
      <c r="U28" s="96">
        <v>62889750</v>
      </c>
      <c r="V28" s="41"/>
      <c r="W28" s="48"/>
      <c r="X28" s="41"/>
      <c r="Y28" s="41"/>
      <c r="Z28" s="41"/>
      <c r="AA28" s="50"/>
      <c r="AB28" s="88"/>
      <c r="AC28" s="41"/>
      <c r="AD28" s="88"/>
      <c r="AE28" s="41"/>
      <c r="AG28" s="73"/>
      <c r="AH28" s="14">
        <f>SUM(E28:AG28)</f>
        <v>222972750</v>
      </c>
      <c r="AI28" s="17"/>
      <c r="AJ28" s="33">
        <v>245437500</v>
      </c>
      <c r="AK28" s="44">
        <v>44137</v>
      </c>
    </row>
    <row r="29" spans="1:37">
      <c r="A29" s="15"/>
      <c r="B29" s="11"/>
      <c r="C29" s="78"/>
      <c r="E29" s="50"/>
      <c r="F29" s="50"/>
      <c r="G29" s="41"/>
      <c r="H29" s="41"/>
      <c r="I29" s="41"/>
      <c r="J29" s="78"/>
      <c r="K29" s="78"/>
      <c r="L29" s="50"/>
      <c r="M29" s="50"/>
      <c r="N29" s="41"/>
      <c r="O29" s="65"/>
      <c r="P29" s="79"/>
      <c r="Q29" s="50"/>
      <c r="R29" s="94"/>
      <c r="S29" s="107"/>
      <c r="T29" s="94"/>
      <c r="U29" s="96"/>
      <c r="V29" s="41"/>
      <c r="W29" s="48"/>
      <c r="X29" s="41"/>
      <c r="Y29" s="41"/>
      <c r="Z29" s="41"/>
      <c r="AA29" s="50"/>
      <c r="AB29" s="88"/>
      <c r="AC29" s="41"/>
      <c r="AD29" s="88"/>
      <c r="AE29" s="41"/>
      <c r="AF29" s="86">
        <f>87758750</f>
        <v>87758750</v>
      </c>
      <c r="AG29" s="41"/>
      <c r="AH29" s="14"/>
      <c r="AI29" s="17"/>
      <c r="AJ29" s="82"/>
      <c r="AK29" s="44"/>
    </row>
    <row r="30" spans="1:37">
      <c r="A30" s="15"/>
      <c r="B30" s="11"/>
      <c r="C30" s="78"/>
      <c r="E30" s="50"/>
      <c r="F30" s="50"/>
      <c r="G30" s="41"/>
      <c r="H30" s="41"/>
      <c r="I30" s="41"/>
      <c r="J30" s="78"/>
      <c r="K30" s="78"/>
      <c r="L30" s="50"/>
      <c r="M30" s="50"/>
      <c r="N30" s="41"/>
      <c r="O30" s="65"/>
      <c r="P30" s="79"/>
      <c r="Q30" s="50"/>
      <c r="R30" s="94"/>
      <c r="S30" s="107"/>
      <c r="T30" s="94"/>
      <c r="U30" s="96"/>
      <c r="V30" s="41"/>
      <c r="W30" s="48"/>
      <c r="X30" s="41"/>
      <c r="Y30" s="41"/>
      <c r="Z30" s="41"/>
      <c r="AA30" s="50"/>
      <c r="AB30" s="88"/>
      <c r="AC30" s="41"/>
      <c r="AD30" s="88"/>
      <c r="AE30" s="41"/>
      <c r="AF30" s="86">
        <f>5717250+22846131</f>
        <v>28563381</v>
      </c>
      <c r="AG30" s="41"/>
      <c r="AH30" s="14"/>
      <c r="AI30" s="17"/>
      <c r="AJ30" s="82"/>
      <c r="AK30" s="44"/>
    </row>
    <row r="31" spans="1:37">
      <c r="A31" s="15" t="s">
        <v>24</v>
      </c>
      <c r="B31" s="11"/>
      <c r="C31" s="13"/>
      <c r="D31" s="93"/>
      <c r="E31" s="48"/>
      <c r="F31" s="48"/>
      <c r="G31" s="50"/>
      <c r="H31" s="73">
        <v>291584913</v>
      </c>
      <c r="I31" s="48"/>
      <c r="J31" s="78"/>
      <c r="K31" s="78"/>
      <c r="L31" s="50"/>
      <c r="M31" s="50"/>
      <c r="N31" s="41"/>
      <c r="O31" s="102"/>
      <c r="P31" s="79"/>
      <c r="Q31" s="41"/>
      <c r="R31" s="50"/>
      <c r="S31" s="108"/>
      <c r="T31" s="50"/>
      <c r="U31" s="103"/>
      <c r="V31" s="41"/>
      <c r="W31" s="50"/>
      <c r="X31" s="41"/>
      <c r="Y31" s="41"/>
      <c r="Z31" s="41"/>
      <c r="AA31" s="50"/>
      <c r="AB31" s="88"/>
      <c r="AC31" s="41"/>
      <c r="AD31" s="88"/>
      <c r="AE31" s="41"/>
      <c r="AF31" s="86">
        <f>22869000+5717250</f>
        <v>28586250</v>
      </c>
      <c r="AG31" s="41"/>
      <c r="AH31" s="14">
        <f>SUM(C31:AF31)</f>
        <v>320171163</v>
      </c>
      <c r="AI31" s="17"/>
    </row>
    <row r="32" spans="1:37">
      <c r="A32" s="15" t="s">
        <v>25</v>
      </c>
      <c r="B32" s="11"/>
      <c r="C32" s="78"/>
      <c r="D32" s="104"/>
      <c r="E32" s="50"/>
      <c r="F32" s="50"/>
      <c r="G32" s="41"/>
      <c r="H32" s="41"/>
      <c r="I32" s="41"/>
      <c r="J32" s="78"/>
      <c r="K32" s="78"/>
      <c r="L32" s="50"/>
      <c r="M32" s="50"/>
      <c r="N32" s="41"/>
      <c r="O32" s="41"/>
      <c r="P32" s="88"/>
      <c r="Q32" s="41"/>
      <c r="R32" s="41"/>
      <c r="S32" s="108"/>
      <c r="T32" s="50"/>
      <c r="U32" s="88"/>
      <c r="V32" s="41"/>
      <c r="W32" s="41"/>
      <c r="X32" s="41"/>
      <c r="Y32" s="41"/>
      <c r="Z32" s="41"/>
      <c r="AA32" s="50"/>
      <c r="AB32" s="88"/>
      <c r="AC32" s="41"/>
      <c r="AD32" s="88"/>
      <c r="AE32" s="41"/>
      <c r="AF32" s="48"/>
      <c r="AG32" s="41"/>
      <c r="AH32" s="14">
        <f>SUM(L32:AF32)</f>
        <v>0</v>
      </c>
      <c r="AI32" s="17"/>
      <c r="AJ32" s="48">
        <v>127684117</v>
      </c>
    </row>
    <row r="33" spans="1:36">
      <c r="A33" s="15"/>
      <c r="B33" s="11"/>
      <c r="C33" s="78"/>
      <c r="D33" s="104"/>
      <c r="E33" s="50"/>
      <c r="F33" s="50"/>
      <c r="G33" s="41"/>
      <c r="H33" s="41"/>
      <c r="I33" s="41"/>
      <c r="J33" s="78"/>
      <c r="K33" s="78"/>
      <c r="L33" s="50"/>
      <c r="M33" s="50"/>
      <c r="N33" s="41"/>
      <c r="O33" s="41"/>
      <c r="P33" s="88"/>
      <c r="Q33" s="41"/>
      <c r="R33" s="41"/>
      <c r="S33" s="108"/>
      <c r="T33" s="50"/>
      <c r="U33" s="88"/>
      <c r="V33" s="41"/>
      <c r="W33" s="41"/>
      <c r="X33" s="41"/>
      <c r="Y33" s="41"/>
      <c r="Z33" s="41"/>
      <c r="AA33" s="50"/>
      <c r="AB33" s="88"/>
      <c r="AC33" s="41"/>
      <c r="AD33" s="88"/>
      <c r="AE33" s="41"/>
      <c r="AF33" s="16">
        <f>109540310+46939858+66089548</f>
        <v>222569716</v>
      </c>
      <c r="AG33" s="41"/>
      <c r="AH33" s="14"/>
      <c r="AI33" s="17"/>
      <c r="AJ33" s="106"/>
    </row>
    <row r="34" spans="1:36">
      <c r="A34" s="15"/>
      <c r="B34" s="11"/>
      <c r="C34" s="78"/>
      <c r="D34" s="104"/>
      <c r="E34" s="50"/>
      <c r="F34" s="50"/>
      <c r="G34" s="41"/>
      <c r="H34" s="41"/>
      <c r="I34" s="41"/>
      <c r="J34" s="78"/>
      <c r="K34" s="78"/>
      <c r="L34" s="50"/>
      <c r="M34" s="50"/>
      <c r="N34" s="41"/>
      <c r="O34" s="41"/>
      <c r="P34" s="88"/>
      <c r="Q34" s="41"/>
      <c r="R34" s="41"/>
      <c r="S34" s="108"/>
      <c r="T34" s="50"/>
      <c r="U34" s="88"/>
      <c r="V34" s="41"/>
      <c r="W34" s="41"/>
      <c r="X34" s="41"/>
      <c r="Y34" s="41"/>
      <c r="Z34" s="41"/>
      <c r="AA34" s="50"/>
      <c r="AB34" s="88"/>
      <c r="AC34" s="41"/>
      <c r="AD34" s="88"/>
      <c r="AE34" s="41"/>
      <c r="AF34" s="112">
        <v>1615443562</v>
      </c>
      <c r="AG34" s="41"/>
      <c r="AH34" s="14"/>
      <c r="AI34" s="17"/>
      <c r="AJ34" s="106"/>
    </row>
    <row r="35" spans="1:36">
      <c r="A35" s="15" t="s">
        <v>26</v>
      </c>
      <c r="B35" s="11"/>
      <c r="C35" s="78"/>
      <c r="D35" s="93"/>
      <c r="E35" s="48"/>
      <c r="F35" s="48"/>
      <c r="G35" s="41"/>
      <c r="H35" s="41"/>
      <c r="I35" s="41"/>
      <c r="J35" s="78"/>
      <c r="K35" s="78"/>
      <c r="L35" s="50"/>
      <c r="M35" s="50"/>
      <c r="N35" s="41"/>
      <c r="O35" s="41"/>
      <c r="P35" s="88"/>
      <c r="Q35" s="41"/>
      <c r="R35" s="41"/>
      <c r="S35" s="108"/>
      <c r="T35" s="50"/>
      <c r="U35" s="88"/>
      <c r="V35" s="41"/>
      <c r="W35" s="41"/>
      <c r="X35" s="41"/>
      <c r="Y35" s="41"/>
      <c r="Z35" s="41"/>
      <c r="AA35" s="50"/>
      <c r="AB35" s="88"/>
      <c r="AC35" s="41"/>
      <c r="AD35" s="88"/>
      <c r="AE35" s="41"/>
      <c r="AF35" s="112">
        <f>260475823+149127822+130965627+20619588</f>
        <v>561188860</v>
      </c>
      <c r="AG35" s="41"/>
      <c r="AH35" s="14">
        <f>SUM(D35:AF35)</f>
        <v>561188860</v>
      </c>
      <c r="AI35" s="17"/>
    </row>
    <row r="36" spans="1:36">
      <c r="A36" s="15"/>
      <c r="B36" s="11"/>
      <c r="C36" s="78"/>
      <c r="D36" s="93"/>
      <c r="E36" s="48"/>
      <c r="F36" s="48"/>
      <c r="G36" s="41"/>
      <c r="H36" s="41"/>
      <c r="I36" s="41"/>
      <c r="J36" s="78"/>
      <c r="K36" s="78"/>
      <c r="L36" s="50"/>
      <c r="M36" s="50"/>
      <c r="N36" s="41"/>
      <c r="O36" s="41"/>
      <c r="P36" s="88"/>
      <c r="Q36" s="41"/>
      <c r="R36" s="41"/>
      <c r="S36" s="108"/>
      <c r="T36" s="50"/>
      <c r="U36" s="88"/>
      <c r="V36" s="41"/>
      <c r="W36" s="41"/>
      <c r="X36" s="41"/>
      <c r="Y36" s="41"/>
      <c r="Z36" s="41"/>
      <c r="AA36" s="50"/>
      <c r="AB36" s="88"/>
      <c r="AC36" s="41"/>
      <c r="AD36" s="88"/>
      <c r="AE36" s="41"/>
      <c r="AF36" s="48">
        <v>143511259</v>
      </c>
      <c r="AG36" s="41"/>
      <c r="AH36" s="14"/>
      <c r="AI36" s="17"/>
    </row>
    <row r="37" spans="1:36">
      <c r="A37" s="15"/>
      <c r="B37" s="11"/>
      <c r="C37" s="78"/>
      <c r="D37" s="93"/>
      <c r="E37" s="48"/>
      <c r="F37" s="48"/>
      <c r="G37" s="41"/>
      <c r="H37" s="41"/>
      <c r="I37" s="41"/>
      <c r="J37" s="78"/>
      <c r="K37" s="78"/>
      <c r="L37" s="50"/>
      <c r="M37" s="50"/>
      <c r="N37" s="41"/>
      <c r="O37" s="41"/>
      <c r="P37" s="88"/>
      <c r="Q37" s="41"/>
      <c r="R37" s="41"/>
      <c r="S37" s="108"/>
      <c r="T37" s="50"/>
      <c r="U37" s="88"/>
      <c r="V37" s="41"/>
      <c r="W37" s="41"/>
      <c r="X37" s="41"/>
      <c r="Y37" s="41"/>
      <c r="Z37" s="41"/>
      <c r="AA37" s="50"/>
      <c r="AB37" s="88"/>
      <c r="AC37" s="41"/>
      <c r="AD37" s="88"/>
      <c r="AE37" s="41"/>
      <c r="AF37" s="48">
        <v>264176845</v>
      </c>
      <c r="AG37" s="41"/>
      <c r="AH37" s="14"/>
      <c r="AI37" s="17"/>
    </row>
    <row r="38" spans="1:36">
      <c r="A38" s="15"/>
      <c r="B38" s="11"/>
      <c r="C38" s="78"/>
      <c r="D38" s="93"/>
      <c r="E38" s="57"/>
      <c r="F38" s="48"/>
      <c r="G38" s="41"/>
      <c r="H38" s="41"/>
      <c r="I38" s="41"/>
      <c r="J38" s="78"/>
      <c r="K38" s="78"/>
      <c r="L38" s="50"/>
      <c r="M38" s="50"/>
      <c r="N38" s="41"/>
      <c r="O38" s="41"/>
      <c r="P38" s="88"/>
      <c r="Q38" s="41"/>
      <c r="R38" s="41"/>
      <c r="S38" s="108"/>
      <c r="T38" s="50"/>
      <c r="U38" s="88"/>
      <c r="V38" s="41"/>
      <c r="W38" s="41"/>
      <c r="X38" s="41"/>
      <c r="Y38" s="41"/>
      <c r="Z38" s="41"/>
      <c r="AA38" s="50"/>
      <c r="AB38" s="88"/>
      <c r="AC38" s="41"/>
      <c r="AD38" s="88"/>
      <c r="AE38" s="41"/>
      <c r="AF38" s="48">
        <v>328505905</v>
      </c>
      <c r="AG38" s="41"/>
      <c r="AH38" s="14"/>
      <c r="AI38" s="17"/>
    </row>
    <row r="39" spans="1:36">
      <c r="A39" s="15" t="s">
        <v>115</v>
      </c>
      <c r="B39" s="11"/>
      <c r="C39" s="13"/>
      <c r="D39" s="93"/>
      <c r="E39" s="57"/>
      <c r="F39" s="48"/>
      <c r="H39" s="48"/>
      <c r="I39" s="41"/>
      <c r="J39" s="78"/>
      <c r="K39" s="78"/>
      <c r="L39" s="48"/>
      <c r="M39" s="48"/>
      <c r="N39" s="73">
        <v>137846079</v>
      </c>
      <c r="O39" s="48"/>
      <c r="P39" s="79"/>
      <c r="Q39" s="48"/>
      <c r="R39" s="48"/>
      <c r="S39" s="100"/>
      <c r="T39" s="48"/>
      <c r="V39" s="41"/>
      <c r="W39" s="41"/>
      <c r="X39" s="41"/>
      <c r="Y39" s="41"/>
      <c r="Z39" s="41"/>
      <c r="AA39" s="48"/>
      <c r="AB39" s="88"/>
      <c r="AC39" s="41"/>
      <c r="AD39" s="88"/>
      <c r="AE39" s="41"/>
      <c r="AF39" s="48">
        <v>61003007</v>
      </c>
      <c r="AG39" s="41"/>
      <c r="AH39" s="14"/>
      <c r="AI39" s="17"/>
    </row>
    <row r="40" spans="1:36">
      <c r="A40" s="15" t="s">
        <v>118</v>
      </c>
      <c r="B40" s="11"/>
      <c r="C40" s="13"/>
      <c r="D40" s="93"/>
      <c r="E40" s="57"/>
      <c r="F40" s="48"/>
      <c r="G40" s="73">
        <f>195645240+65215080</f>
        <v>260860320</v>
      </c>
      <c r="H40" s="48"/>
      <c r="I40" s="48"/>
      <c r="J40" s="73">
        <v>65215080</v>
      </c>
      <c r="K40" s="73"/>
      <c r="L40" s="48"/>
      <c r="M40" s="48"/>
      <c r="N40" s="48"/>
      <c r="O40" s="73">
        <v>46135656</v>
      </c>
      <c r="P40" s="84">
        <v>16587774</v>
      </c>
      <c r="Q40" s="48"/>
      <c r="R40" s="48"/>
      <c r="S40" s="100"/>
      <c r="T40" s="48"/>
      <c r="U40" s="84">
        <f>13432860+32043060</f>
        <v>45475920</v>
      </c>
      <c r="V40" s="48"/>
      <c r="W40" s="48"/>
      <c r="X40" s="73">
        <v>60447870</v>
      </c>
      <c r="Y40" s="73">
        <v>4788378</v>
      </c>
      <c r="Z40" s="48"/>
      <c r="AA40" s="48"/>
      <c r="AB40" s="84">
        <f>99595440+33119100</f>
        <v>132714540</v>
      </c>
      <c r="AC40" s="48"/>
      <c r="AD40" s="95">
        <v>43383816</v>
      </c>
      <c r="AE40" s="41"/>
      <c r="AH40" s="14"/>
      <c r="AI40" s="17"/>
    </row>
    <row r="41" spans="1:36">
      <c r="A41" s="15"/>
      <c r="B41" s="11"/>
      <c r="C41" s="13"/>
      <c r="D41" s="93"/>
      <c r="E41" s="57"/>
      <c r="F41" s="48"/>
      <c r="G41" s="73"/>
      <c r="H41" s="48"/>
      <c r="I41" s="48"/>
      <c r="J41" s="73"/>
      <c r="K41" s="73"/>
      <c r="L41" s="48"/>
      <c r="M41" s="48"/>
      <c r="N41" s="48"/>
      <c r="O41" s="73"/>
      <c r="P41" s="84"/>
      <c r="Q41" s="48"/>
      <c r="R41" s="48"/>
      <c r="S41" s="100"/>
      <c r="T41" s="48"/>
      <c r="U41" s="84"/>
      <c r="V41" s="48"/>
      <c r="W41" s="48"/>
      <c r="X41" s="73"/>
      <c r="Y41" s="73"/>
      <c r="Z41" s="48"/>
      <c r="AA41" s="48"/>
      <c r="AB41" s="84"/>
      <c r="AC41" s="48"/>
      <c r="AD41" s="95">
        <v>49124754</v>
      </c>
      <c r="AE41" s="41"/>
      <c r="AF41" s="48"/>
      <c r="AG41" s="48"/>
      <c r="AH41" s="14"/>
      <c r="AI41" s="17"/>
    </row>
    <row r="42" spans="1:36" ht="15">
      <c r="A42" s="15" t="s">
        <v>27</v>
      </c>
      <c r="B42" s="11"/>
      <c r="C42" s="13">
        <f>35750000-3266040</f>
        <v>32483960</v>
      </c>
      <c r="D42" s="76"/>
      <c r="E42" s="48"/>
      <c r="F42" s="48"/>
      <c r="G42" s="48"/>
      <c r="H42" s="51"/>
      <c r="I42" s="51"/>
      <c r="J42" s="73"/>
      <c r="K42" s="73"/>
      <c r="L42" s="48"/>
      <c r="M42" s="48"/>
      <c r="N42" s="48"/>
      <c r="O42" s="48"/>
      <c r="P42" s="79"/>
      <c r="Q42" s="73"/>
      <c r="R42" s="48"/>
      <c r="S42" s="100"/>
      <c r="T42" s="48"/>
      <c r="U42" s="84">
        <v>45500000</v>
      </c>
      <c r="V42" s="48"/>
      <c r="W42" s="48"/>
      <c r="X42" s="48"/>
      <c r="Y42" s="48"/>
      <c r="Z42" s="48"/>
      <c r="AA42" s="48"/>
      <c r="AB42" s="84">
        <v>37505000</v>
      </c>
      <c r="AC42" s="48"/>
      <c r="AD42" s="100"/>
      <c r="AE42" s="41"/>
      <c r="AF42" s="48"/>
      <c r="AG42" s="48"/>
      <c r="AH42" s="14">
        <f>SUM(C42:AG42)</f>
        <v>115488960</v>
      </c>
      <c r="AI42" s="17"/>
    </row>
    <row r="43" spans="1:36">
      <c r="A43" s="15" t="s">
        <v>113</v>
      </c>
      <c r="B43" s="11"/>
      <c r="C43" s="13"/>
      <c r="D43" s="13"/>
      <c r="E43" s="48"/>
      <c r="F43" s="48"/>
      <c r="G43" s="41"/>
      <c r="H43" s="41"/>
      <c r="I43" s="13">
        <v>61875000</v>
      </c>
      <c r="J43" s="84">
        <v>166950000</v>
      </c>
      <c r="K43" s="73"/>
      <c r="L43" s="48"/>
      <c r="M43" s="73"/>
      <c r="N43" s="73">
        <f>66287500-49346500</f>
        <v>16941000</v>
      </c>
      <c r="O43" s="48"/>
      <c r="P43" s="48"/>
      <c r="Q43" s="73"/>
      <c r="R43" s="79"/>
      <c r="S43" s="79"/>
      <c r="T43" s="48"/>
      <c r="U43" s="84">
        <v>82250000</v>
      </c>
      <c r="V43" s="48"/>
      <c r="W43" s="48"/>
      <c r="X43" s="73"/>
      <c r="Y43" s="48"/>
      <c r="Z43" s="48"/>
      <c r="AA43" s="73"/>
      <c r="AB43" s="79"/>
      <c r="AC43" s="48"/>
      <c r="AD43" s="100"/>
      <c r="AE43" s="42">
        <v>82500000</v>
      </c>
      <c r="AF43" s="48"/>
      <c r="AG43" s="48"/>
      <c r="AH43" s="14"/>
      <c r="AI43" s="17"/>
    </row>
    <row r="44" spans="1:36">
      <c r="A44" s="15"/>
      <c r="B44" s="11"/>
      <c r="C44" s="13"/>
      <c r="D44" s="13"/>
      <c r="E44" s="48"/>
      <c r="F44" s="48"/>
      <c r="G44" s="41"/>
      <c r="H44" s="48"/>
      <c r="I44" s="41"/>
      <c r="J44" s="73">
        <v>86802000</v>
      </c>
      <c r="K44" s="73"/>
      <c r="L44" s="48"/>
      <c r="M44" s="73"/>
      <c r="N44" s="48"/>
      <c r="O44" s="48"/>
      <c r="P44" s="48"/>
      <c r="Q44" s="73"/>
      <c r="R44" s="48"/>
      <c r="S44" s="100"/>
      <c r="T44" s="48"/>
      <c r="U44" s="79"/>
      <c r="V44" s="48"/>
      <c r="W44" s="48"/>
      <c r="X44" s="73"/>
      <c r="Y44" s="48"/>
      <c r="Z44" s="48"/>
      <c r="AA44" s="73"/>
      <c r="AB44" s="79"/>
      <c r="AC44" s="48"/>
      <c r="AD44" s="100"/>
      <c r="AE44" s="41"/>
      <c r="AF44" s="48"/>
      <c r="AG44" s="48"/>
      <c r="AH44" s="14"/>
      <c r="AI44" s="17"/>
    </row>
    <row r="45" spans="1:36" ht="15">
      <c r="A45" s="15" t="s">
        <v>114</v>
      </c>
      <c r="B45" s="11"/>
      <c r="C45" s="13"/>
      <c r="D45" s="13"/>
      <c r="E45" s="48"/>
      <c r="F45" s="48"/>
      <c r="G45" s="48"/>
      <c r="H45" s="51"/>
      <c r="I45" s="51"/>
      <c r="J45" s="84"/>
      <c r="K45" s="73"/>
      <c r="L45" s="48"/>
      <c r="M45" s="73"/>
      <c r="N45" s="73">
        <f>49350000-31248000</f>
        <v>18102000</v>
      </c>
      <c r="O45" s="48"/>
      <c r="P45" s="48"/>
      <c r="Q45" s="73"/>
      <c r="R45" s="73">
        <v>37125000</v>
      </c>
      <c r="S45" s="100"/>
      <c r="T45" s="48"/>
      <c r="U45" s="48"/>
      <c r="V45" s="48"/>
      <c r="W45" s="48"/>
      <c r="X45" s="73"/>
      <c r="Y45" s="73"/>
      <c r="Z45" s="48"/>
      <c r="AA45" s="73"/>
      <c r="AB45" s="84"/>
      <c r="AC45" s="48"/>
      <c r="AD45" s="79"/>
      <c r="AE45" s="41"/>
      <c r="AF45" s="48"/>
      <c r="AG45" s="48"/>
      <c r="AH45" s="14"/>
      <c r="AI45" s="17"/>
    </row>
    <row r="46" spans="1:36" ht="15">
      <c r="A46" s="15" t="s">
        <v>116</v>
      </c>
      <c r="B46" s="11"/>
      <c r="C46" s="13"/>
      <c r="D46" s="13"/>
      <c r="E46" s="48"/>
      <c r="F46" s="48"/>
      <c r="G46" s="48"/>
      <c r="H46" s="51"/>
      <c r="I46" s="51"/>
      <c r="J46" s="84"/>
      <c r="K46" s="73"/>
      <c r="L46" s="48"/>
      <c r="M46" s="73"/>
      <c r="N46" s="73">
        <f>181400000-21000000</f>
        <v>160400000</v>
      </c>
      <c r="O46" s="48"/>
      <c r="P46" s="48"/>
      <c r="Q46" s="73"/>
      <c r="R46" s="48"/>
      <c r="S46" s="57"/>
      <c r="T46" s="48"/>
      <c r="U46" s="48"/>
      <c r="V46" s="48"/>
      <c r="W46" s="48"/>
      <c r="X46" s="73"/>
      <c r="Y46" s="73">
        <v>24400000</v>
      </c>
      <c r="Z46" s="48"/>
      <c r="AA46" s="73"/>
      <c r="AB46" s="103"/>
      <c r="AC46" s="50"/>
      <c r="AD46" s="79"/>
      <c r="AE46" s="41"/>
      <c r="AF46" s="50"/>
      <c r="AG46" s="73"/>
      <c r="AH46" s="14"/>
      <c r="AI46" s="17"/>
    </row>
    <row r="47" spans="1:36">
      <c r="A47" s="15" t="s">
        <v>28</v>
      </c>
      <c r="B47" s="11"/>
      <c r="C47" s="13"/>
      <c r="D47" s="73"/>
      <c r="E47" s="48"/>
      <c r="F47" s="48"/>
      <c r="G47" s="48"/>
      <c r="H47" s="48"/>
      <c r="I47" s="48"/>
      <c r="J47" s="84"/>
      <c r="K47" s="73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79"/>
      <c r="AC47" s="48"/>
      <c r="AD47" s="79"/>
      <c r="AE47" s="41"/>
      <c r="AF47" s="48"/>
      <c r="AG47" s="48"/>
      <c r="AH47" s="14">
        <f>SUM(C47:AG47)</f>
        <v>0</v>
      </c>
      <c r="AI47" s="17"/>
    </row>
    <row r="48" spans="1:36">
      <c r="A48" s="15" t="s">
        <v>29</v>
      </c>
      <c r="B48" s="11"/>
      <c r="C48" s="13"/>
      <c r="D48" s="73"/>
      <c r="E48" s="48"/>
      <c r="F48" s="48"/>
      <c r="G48" s="48"/>
      <c r="H48" s="48"/>
      <c r="I48" s="48"/>
      <c r="J48" s="84"/>
      <c r="K48" s="73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79"/>
      <c r="AC48" s="48"/>
      <c r="AD48" s="79"/>
      <c r="AE48" s="41"/>
      <c r="AF48" s="48"/>
      <c r="AG48" s="48"/>
      <c r="AH48" s="14">
        <f>SUM(C48:AG48)</f>
        <v>0</v>
      </c>
      <c r="AI48" s="17"/>
    </row>
    <row r="49" spans="1:35">
      <c r="A49" s="15" t="s">
        <v>30</v>
      </c>
      <c r="B49" s="11"/>
      <c r="C49" s="13"/>
      <c r="D49" s="73"/>
      <c r="E49" s="57"/>
      <c r="F49" s="48"/>
      <c r="G49" s="48"/>
      <c r="H49" s="48"/>
      <c r="I49" s="48"/>
      <c r="J49" s="84"/>
      <c r="K49" s="73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79"/>
      <c r="AC49" s="48"/>
      <c r="AD49" s="79"/>
      <c r="AE49" s="41"/>
      <c r="AF49" s="48"/>
      <c r="AG49" s="48"/>
      <c r="AH49" s="14">
        <f>SUM(C49:AG49)</f>
        <v>0</v>
      </c>
      <c r="AI49" s="17"/>
    </row>
    <row r="50" spans="1:35">
      <c r="A50" s="15" t="s">
        <v>31</v>
      </c>
      <c r="B50" s="11"/>
      <c r="C50" s="13"/>
      <c r="D50" s="73"/>
      <c r="E50" s="57"/>
      <c r="F50" s="48"/>
      <c r="G50" s="48"/>
      <c r="H50" s="48"/>
      <c r="I50" s="48"/>
      <c r="J50" s="84"/>
      <c r="K50" s="73"/>
      <c r="L50" s="48"/>
      <c r="M50" s="48"/>
      <c r="N50" s="48"/>
      <c r="O50" s="48"/>
      <c r="P50" s="48"/>
      <c r="Q50" s="48"/>
      <c r="R50" s="48"/>
      <c r="S50" s="48"/>
      <c r="T50" s="48"/>
      <c r="U50" s="73">
        <v>17549950</v>
      </c>
      <c r="V50" s="48"/>
      <c r="W50" s="48"/>
      <c r="X50" s="73"/>
      <c r="Y50" s="73">
        <v>35099900</v>
      </c>
      <c r="Z50" s="48"/>
      <c r="AA50" s="73"/>
      <c r="AB50" s="79"/>
      <c r="AC50" s="48"/>
      <c r="AD50" s="79"/>
      <c r="AE50" s="41"/>
      <c r="AF50" s="48"/>
      <c r="AG50" s="48"/>
      <c r="AH50" s="14">
        <f>SUM(C50:AG50)</f>
        <v>52649850</v>
      </c>
      <c r="AI50" s="17"/>
    </row>
    <row r="51" spans="1:35">
      <c r="A51" s="32" t="s">
        <v>46</v>
      </c>
      <c r="B51" s="11"/>
      <c r="C51" s="13">
        <v>500000000</v>
      </c>
      <c r="D51" s="13"/>
      <c r="E51" s="57"/>
      <c r="F51" s="73"/>
      <c r="G51" s="73">
        <f>79386386+105145722</f>
        <v>184532108</v>
      </c>
      <c r="H51" s="48"/>
      <c r="I51" s="73">
        <v>193983976</v>
      </c>
      <c r="J51" s="105">
        <v>262898064</v>
      </c>
      <c r="K51" s="94">
        <v>250000000</v>
      </c>
      <c r="L51" s="49"/>
      <c r="M51" s="73"/>
      <c r="N51" s="73">
        <v>67901051</v>
      </c>
      <c r="O51" s="48"/>
      <c r="P51" s="48"/>
      <c r="Q51" s="73"/>
      <c r="R51" s="73"/>
      <c r="S51" s="73"/>
      <c r="T51" s="73"/>
      <c r="U51" s="73">
        <v>2000000000</v>
      </c>
      <c r="V51" s="48"/>
      <c r="W51" s="48"/>
      <c r="X51" s="73"/>
      <c r="Y51" s="73"/>
      <c r="Z51" s="73"/>
      <c r="AA51" s="73"/>
      <c r="AB51" s="96"/>
      <c r="AC51" s="48"/>
      <c r="AD51" s="79"/>
      <c r="AE51" s="42">
        <v>181812769</v>
      </c>
      <c r="AF51" s="48"/>
      <c r="AG51" s="48"/>
      <c r="AH51" s="14">
        <f>SUM(C51:AG51)</f>
        <v>3641127968</v>
      </c>
      <c r="AI51" s="17"/>
    </row>
    <row r="52" spans="1:35">
      <c r="A52" s="32" t="s">
        <v>47</v>
      </c>
      <c r="B52" s="11"/>
      <c r="C52" s="94"/>
      <c r="D52" s="94"/>
      <c r="E52" s="49"/>
      <c r="F52" s="16"/>
      <c r="G52" s="17">
        <v>1016796924</v>
      </c>
      <c r="H52" s="48"/>
      <c r="I52" s="48"/>
      <c r="J52" s="73"/>
      <c r="K52" s="73"/>
      <c r="L52" s="73"/>
      <c r="M52" s="73"/>
      <c r="N52" s="73">
        <v>28024927</v>
      </c>
      <c r="O52" s="48"/>
      <c r="P52" s="48"/>
      <c r="Q52" s="73"/>
      <c r="R52" s="48"/>
      <c r="S52" s="73"/>
      <c r="T52" s="73"/>
      <c r="U52" s="6">
        <v>22026881</v>
      </c>
      <c r="V52" s="91"/>
      <c r="W52" s="48"/>
      <c r="X52" s="48"/>
      <c r="Y52" s="73">
        <v>650000000</v>
      </c>
      <c r="Z52" s="48"/>
      <c r="AA52" s="73"/>
      <c r="AB52" s="84">
        <f>3125992+13109930</f>
        <v>16235922</v>
      </c>
      <c r="AC52" s="73">
        <f>2500000000+9441121+8456990</f>
        <v>2517898111</v>
      </c>
      <c r="AD52" s="84">
        <f>35000000+18286484</f>
        <v>53286484</v>
      </c>
      <c r="AE52" s="42">
        <f>6978425+18000186</f>
        <v>24978611</v>
      </c>
      <c r="AF52" s="73">
        <f>7476264+11275068</f>
        <v>18751332</v>
      </c>
      <c r="AG52" s="48"/>
      <c r="AH52" s="14">
        <f>SUM(F52:AG52)</f>
        <v>4347999192</v>
      </c>
      <c r="AI52" s="17"/>
    </row>
    <row r="53" spans="1:35">
      <c r="A53" s="32" t="s">
        <v>119</v>
      </c>
      <c r="B53" s="111"/>
      <c r="C53" s="94"/>
      <c r="D53" s="94"/>
      <c r="E53" s="49"/>
      <c r="F53" s="16"/>
      <c r="G53" s="17"/>
      <c r="H53" s="48"/>
      <c r="I53" s="48"/>
      <c r="J53" s="73"/>
      <c r="K53" s="73"/>
      <c r="L53" s="73"/>
      <c r="M53" s="73"/>
      <c r="N53" s="73"/>
      <c r="O53" s="48"/>
      <c r="P53" s="48"/>
      <c r="Q53" s="73"/>
      <c r="R53" s="48"/>
      <c r="S53" s="73"/>
      <c r="T53" s="73"/>
      <c r="U53" s="42"/>
      <c r="V53" s="48"/>
      <c r="AA53" s="73"/>
      <c r="AC53" s="41"/>
      <c r="AE53" s="41"/>
      <c r="AF53" s="48">
        <f>335000000+800000000</f>
        <v>1135000000</v>
      </c>
      <c r="AG53" s="41"/>
      <c r="AH53" s="14"/>
      <c r="AI53" s="17"/>
    </row>
    <row r="54" spans="1:35">
      <c r="A54" s="19" t="s">
        <v>32</v>
      </c>
      <c r="B54" s="20"/>
      <c r="C54" s="66">
        <f>SUM(C7:C52)</f>
        <v>598061560</v>
      </c>
      <c r="D54" s="66">
        <f>SUM(D7:D52)</f>
        <v>0</v>
      </c>
      <c r="E54" s="58">
        <f>SUM(E7:E52)</f>
        <v>0</v>
      </c>
      <c r="F54" s="21">
        <f>SUM(F7:F52)</f>
        <v>0</v>
      </c>
      <c r="G54" s="21">
        <f>SUM(G7:G52)</f>
        <v>1542605548</v>
      </c>
      <c r="H54" s="21">
        <f>SUM(H8:H52)</f>
        <v>291584913</v>
      </c>
      <c r="I54" s="21">
        <f>SUM(I7:I52)</f>
        <v>255858976</v>
      </c>
      <c r="J54" s="66">
        <f>SUM(J7:J52)</f>
        <v>581865144</v>
      </c>
      <c r="K54" s="66">
        <f>SUM(K7:K52)</f>
        <v>250000000</v>
      </c>
      <c r="L54" s="21"/>
      <c r="M54" s="21">
        <f>SUM(M7:M52)</f>
        <v>0</v>
      </c>
      <c r="N54" s="21">
        <f>SUM(N7:N52)</f>
        <v>732899967</v>
      </c>
      <c r="O54" s="21">
        <f>SUM(O8:O52)</f>
        <v>189066906</v>
      </c>
      <c r="P54" s="21">
        <f>SUM(P7:P52)</f>
        <v>16587774</v>
      </c>
      <c r="Q54" s="21">
        <f>SUM(Q7:Q52)</f>
        <v>152984949</v>
      </c>
      <c r="R54" s="21">
        <f>SUM(R7:R52)</f>
        <v>1126360620</v>
      </c>
      <c r="S54" s="21">
        <f>SUM(S7:S52)</f>
        <v>0</v>
      </c>
      <c r="T54" s="21">
        <f>SUM(T7:T52)</f>
        <v>0</v>
      </c>
      <c r="U54" s="21">
        <f t="shared" ref="U54:AD54" si="1">SUM(U7:U53)</f>
        <v>3398994829</v>
      </c>
      <c r="V54" s="21">
        <f t="shared" si="1"/>
        <v>354177195</v>
      </c>
      <c r="W54" s="21">
        <f t="shared" si="1"/>
        <v>26881885</v>
      </c>
      <c r="X54" s="21">
        <f t="shared" si="1"/>
        <v>384357324</v>
      </c>
      <c r="Y54" s="21">
        <f t="shared" si="1"/>
        <v>861887515</v>
      </c>
      <c r="Z54" s="21">
        <f t="shared" si="1"/>
        <v>0</v>
      </c>
      <c r="AA54" s="21">
        <f t="shared" si="1"/>
        <v>0</v>
      </c>
      <c r="AB54" s="21">
        <f t="shared" si="1"/>
        <v>529559918</v>
      </c>
      <c r="AC54" s="21">
        <f t="shared" si="1"/>
        <v>2517898111</v>
      </c>
      <c r="AD54" s="21">
        <f t="shared" si="1"/>
        <v>218009350</v>
      </c>
      <c r="AE54" s="21">
        <f>SUM(AE7:AE52)</f>
        <v>589072880</v>
      </c>
      <c r="AF54" s="21">
        <f>SUM(AF7:AF53)</f>
        <v>4495058867</v>
      </c>
      <c r="AG54" s="21">
        <f>SUM(AG7:AG53)</f>
        <v>0</v>
      </c>
      <c r="AH54" s="21">
        <f>SUM(AH7:AH52)</f>
        <v>13627316619</v>
      </c>
    </row>
    <row r="55" spans="1:35">
      <c r="A55" s="22"/>
      <c r="B55" s="11"/>
      <c r="C55" s="67"/>
      <c r="D55" s="67"/>
      <c r="E55" s="59"/>
      <c r="F55" s="12"/>
      <c r="G55" s="12"/>
      <c r="H55" s="12"/>
      <c r="I55" s="12"/>
      <c r="J55" s="67"/>
      <c r="K55" s="67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2"/>
      <c r="AD55" s="12"/>
      <c r="AE55" s="12"/>
      <c r="AF55" s="12"/>
      <c r="AG55" s="12"/>
      <c r="AH55" s="23"/>
      <c r="AI55" s="6"/>
    </row>
    <row r="56" spans="1:35">
      <c r="A56" s="24" t="s">
        <v>33</v>
      </c>
      <c r="B56" s="11"/>
      <c r="C56" s="67"/>
      <c r="D56" s="67"/>
      <c r="E56" s="59"/>
      <c r="F56" s="12"/>
      <c r="G56" s="12"/>
      <c r="H56" s="12"/>
      <c r="I56" s="12"/>
      <c r="J56" s="67"/>
      <c r="K56" s="67"/>
      <c r="L56" s="12"/>
      <c r="M56" s="12"/>
      <c r="N56" s="12"/>
      <c r="O56" s="12"/>
      <c r="P56" s="12"/>
      <c r="Q56" s="12"/>
      <c r="R56" s="12"/>
      <c r="S56" s="12"/>
      <c r="T56" s="12"/>
      <c r="U56" s="109"/>
      <c r="V56" s="12"/>
      <c r="W56" s="12"/>
      <c r="X56" s="12"/>
      <c r="Y56" s="12"/>
      <c r="Z56" s="12"/>
      <c r="AA56" s="67"/>
      <c r="AB56" s="67"/>
      <c r="AC56" s="12"/>
      <c r="AD56" s="12"/>
      <c r="AE56" s="12"/>
      <c r="AF56" s="12"/>
      <c r="AG56" s="12"/>
      <c r="AH56" s="23"/>
      <c r="AI56" s="6"/>
    </row>
    <row r="57" spans="1:35">
      <c r="A57" s="25" t="s">
        <v>34</v>
      </c>
      <c r="B57" s="26">
        <v>0</v>
      </c>
      <c r="C57" s="67">
        <v>1200529269</v>
      </c>
      <c r="D57" s="67"/>
      <c r="E57" s="60"/>
      <c r="F57" s="26"/>
      <c r="G57" s="26"/>
      <c r="H57" s="26"/>
      <c r="I57" s="26"/>
      <c r="J57" s="67"/>
      <c r="K57" s="67">
        <v>1464632896</v>
      </c>
      <c r="L57" s="26"/>
      <c r="M57" s="67"/>
      <c r="N57" s="67"/>
      <c r="O57" s="26"/>
      <c r="P57" s="67">
        <v>1142339530</v>
      </c>
      <c r="Q57" s="67"/>
      <c r="R57" s="67"/>
      <c r="S57" s="67"/>
      <c r="T57" s="67"/>
      <c r="U57" s="53"/>
      <c r="V57" s="26"/>
      <c r="W57" s="26"/>
      <c r="X57" s="67">
        <v>545411945</v>
      </c>
      <c r="Y57" s="26"/>
      <c r="Z57" s="67"/>
      <c r="AA57" s="67"/>
      <c r="AB57" s="67">
        <v>405534078</v>
      </c>
      <c r="AC57" s="26"/>
      <c r="AD57" s="26"/>
      <c r="AE57" s="67">
        <v>1044587469</v>
      </c>
      <c r="AF57" s="67">
        <v>1200202990</v>
      </c>
      <c r="AG57" s="26"/>
      <c r="AH57" s="23">
        <f t="shared" ref="AH57:AH66" si="2">SUM(C57:AG57)</f>
        <v>7003238177</v>
      </c>
      <c r="AI57" s="17"/>
    </row>
    <row r="58" spans="1:35">
      <c r="A58" s="25" t="s">
        <v>35</v>
      </c>
      <c r="B58" s="26">
        <v>0</v>
      </c>
      <c r="C58" s="13">
        <v>2200165059</v>
      </c>
      <c r="D58" s="13"/>
      <c r="E58" s="75"/>
      <c r="F58" s="67"/>
      <c r="G58" s="67">
        <v>2919035839</v>
      </c>
      <c r="H58" s="13">
        <v>2278183749</v>
      </c>
      <c r="I58" s="67">
        <v>1347991677</v>
      </c>
      <c r="J58" s="13">
        <v>1583347641</v>
      </c>
      <c r="K58" s="13"/>
      <c r="L58" s="67"/>
      <c r="M58" s="67"/>
      <c r="N58" s="67">
        <v>3845395686</v>
      </c>
      <c r="O58" s="67">
        <v>1674998449</v>
      </c>
      <c r="P58" s="26"/>
      <c r="Q58" s="6">
        <v>1446473568</v>
      </c>
      <c r="R58" s="68"/>
      <c r="S58" s="67"/>
      <c r="T58" s="67"/>
      <c r="U58" s="110">
        <v>1201806932</v>
      </c>
      <c r="V58" s="67">
        <v>1425248903</v>
      </c>
      <c r="W58" s="26"/>
      <c r="X58" s="67">
        <v>1626490693</v>
      </c>
      <c r="Y58" s="67"/>
      <c r="Z58" s="67"/>
      <c r="AA58" s="67"/>
      <c r="AB58" s="13">
        <v>1851645768</v>
      </c>
      <c r="AC58" s="26"/>
      <c r="AD58" s="42">
        <v>2517520489</v>
      </c>
      <c r="AE58" s="67">
        <v>2857452813</v>
      </c>
      <c r="AF58" s="67">
        <v>1859045779</v>
      </c>
      <c r="AG58" s="26"/>
      <c r="AH58" s="23">
        <f t="shared" si="2"/>
        <v>30634803045</v>
      </c>
      <c r="AI58" s="17"/>
    </row>
    <row r="59" spans="1:35">
      <c r="A59" s="25"/>
      <c r="B59" s="26"/>
      <c r="C59" s="13"/>
      <c r="D59" s="13"/>
      <c r="E59" s="60"/>
      <c r="F59" s="67"/>
      <c r="G59" s="67"/>
      <c r="H59" s="16"/>
      <c r="I59" s="67">
        <v>1166713487</v>
      </c>
      <c r="J59" s="13"/>
      <c r="K59" s="13"/>
      <c r="L59" s="67"/>
      <c r="M59" s="67"/>
      <c r="N59" s="67"/>
      <c r="O59" s="26"/>
      <c r="P59" s="26"/>
      <c r="Q59" s="68"/>
      <c r="R59" s="67"/>
      <c r="S59" s="67"/>
      <c r="T59" s="67"/>
      <c r="U59" s="110">
        <v>1861285708</v>
      </c>
      <c r="V59" s="26"/>
      <c r="W59" s="26"/>
      <c r="X59" s="67"/>
      <c r="Y59" s="67"/>
      <c r="Z59" s="67"/>
      <c r="AA59" s="67"/>
      <c r="AB59" s="67"/>
      <c r="AC59" s="26"/>
      <c r="AD59" s="42"/>
      <c r="AE59" s="67"/>
      <c r="AF59" s="67"/>
      <c r="AG59" s="26"/>
      <c r="AH59" s="23">
        <f t="shared" si="2"/>
        <v>3027999195</v>
      </c>
      <c r="AI59" s="17"/>
    </row>
    <row r="60" spans="1:35">
      <c r="A60" s="25" t="s">
        <v>36</v>
      </c>
      <c r="B60" s="26">
        <v>0</v>
      </c>
      <c r="C60" s="67"/>
      <c r="D60" s="68"/>
      <c r="E60" s="60"/>
      <c r="F60" s="67"/>
      <c r="G60" s="67"/>
      <c r="H60" s="26"/>
      <c r="I60" s="26"/>
      <c r="J60" s="67"/>
      <c r="K60" s="67"/>
      <c r="L60" s="67"/>
      <c r="M60" s="67"/>
      <c r="N60" s="67"/>
      <c r="O60" s="26"/>
      <c r="P60" s="26"/>
      <c r="Q60" s="67"/>
      <c r="R60" s="26"/>
      <c r="S60" s="67"/>
      <c r="T60" s="26"/>
      <c r="U60" s="110"/>
      <c r="V60" s="26"/>
      <c r="W60" s="26"/>
      <c r="X60" s="26"/>
      <c r="Y60" s="41"/>
      <c r="Z60" s="67"/>
      <c r="AA60" s="67"/>
      <c r="AB60" s="67"/>
      <c r="AC60" s="26"/>
      <c r="AD60" s="26"/>
      <c r="AE60" s="67"/>
      <c r="AF60" s="67"/>
      <c r="AG60" s="26"/>
      <c r="AH60" s="23">
        <f t="shared" si="2"/>
        <v>0</v>
      </c>
      <c r="AI60" s="17"/>
    </row>
    <row r="61" spans="1:35">
      <c r="A61" s="11" t="s">
        <v>53</v>
      </c>
      <c r="B61" s="26">
        <v>0</v>
      </c>
      <c r="C61" s="67"/>
      <c r="D61" s="65"/>
      <c r="E61" s="75"/>
      <c r="F61" s="67"/>
      <c r="G61" s="67"/>
      <c r="H61" s="67">
        <v>411998776</v>
      </c>
      <c r="I61" s="26"/>
      <c r="J61" s="67">
        <v>1437298990</v>
      </c>
      <c r="K61" s="67">
        <v>734863588</v>
      </c>
      <c r="L61" s="67"/>
      <c r="M61" s="67"/>
      <c r="N61" s="65"/>
      <c r="O61" s="41"/>
      <c r="P61" s="42">
        <v>658790717</v>
      </c>
      <c r="Q61" s="67">
        <v>703445909</v>
      </c>
      <c r="R61" s="67">
        <v>610623200</v>
      </c>
      <c r="S61" s="67"/>
      <c r="T61" s="42"/>
      <c r="U61" s="88"/>
      <c r="V61" s="41"/>
      <c r="W61" s="67">
        <v>865268271</v>
      </c>
      <c r="X61" s="42"/>
      <c r="Y61" s="67"/>
      <c r="Z61" s="67"/>
      <c r="AA61" s="67"/>
      <c r="AB61" s="13"/>
      <c r="AC61" s="26"/>
      <c r="AD61" s="26"/>
      <c r="AE61" s="67"/>
      <c r="AF61" s="67">
        <v>529834925</v>
      </c>
      <c r="AG61" s="67"/>
      <c r="AH61" s="23">
        <f t="shared" si="2"/>
        <v>5952124376</v>
      </c>
      <c r="AI61" s="17"/>
    </row>
    <row r="62" spans="1:35">
      <c r="A62" s="11" t="s">
        <v>54</v>
      </c>
      <c r="B62" s="26"/>
      <c r="C62" s="67"/>
      <c r="D62" s="68"/>
      <c r="F62" s="67"/>
      <c r="G62" s="67"/>
      <c r="H62" s="26"/>
      <c r="I62" s="26"/>
      <c r="J62" s="67"/>
      <c r="K62" s="67"/>
      <c r="L62" s="67"/>
      <c r="M62" s="67"/>
      <c r="N62" s="67"/>
      <c r="O62" s="26"/>
      <c r="P62" s="42"/>
      <c r="Q62" s="67">
        <v>627911022</v>
      </c>
      <c r="R62" s="67">
        <v>466213065</v>
      </c>
      <c r="S62" s="67"/>
      <c r="T62" s="67"/>
      <c r="U62" s="110"/>
      <c r="V62" s="41"/>
      <c r="W62" s="65">
        <v>676768948</v>
      </c>
      <c r="X62" s="41"/>
      <c r="Y62" s="67"/>
      <c r="Z62" s="65"/>
      <c r="AA62" s="67"/>
      <c r="AB62" s="67"/>
      <c r="AC62" s="26"/>
      <c r="AD62" s="67"/>
      <c r="AE62" s="67"/>
      <c r="AF62" s="67"/>
      <c r="AG62" s="26"/>
      <c r="AH62" s="23">
        <f t="shared" si="2"/>
        <v>1770893035</v>
      </c>
      <c r="AI62" s="17">
        <v>1</v>
      </c>
    </row>
    <row r="63" spans="1:35">
      <c r="A63" s="11" t="s">
        <v>37</v>
      </c>
      <c r="B63" s="26">
        <v>0</v>
      </c>
      <c r="C63" s="65">
        <v>571270701</v>
      </c>
      <c r="D63" s="65"/>
      <c r="E63" s="76"/>
      <c r="F63" s="67"/>
      <c r="G63" s="72">
        <v>375800298</v>
      </c>
      <c r="H63" s="67">
        <v>544637221</v>
      </c>
      <c r="I63" s="67">
        <v>408150786</v>
      </c>
      <c r="J63" s="67">
        <v>736357437</v>
      </c>
      <c r="K63" s="67">
        <v>831606472</v>
      </c>
      <c r="L63" s="67"/>
      <c r="M63" s="67"/>
      <c r="N63" s="67"/>
      <c r="O63" s="68">
        <v>893278267</v>
      </c>
      <c r="P63" s="42">
        <v>759317005</v>
      </c>
      <c r="Q63" s="67">
        <v>481069068</v>
      </c>
      <c r="R63" s="67">
        <v>605513294</v>
      </c>
      <c r="S63" s="26"/>
      <c r="T63" s="67"/>
      <c r="V63" s="41"/>
      <c r="W63" s="67">
        <v>364956811</v>
      </c>
      <c r="X63" s="42"/>
      <c r="Y63" s="65">
        <v>761306252</v>
      </c>
      <c r="Z63" s="67"/>
      <c r="AA63" s="67"/>
      <c r="AB63" s="94">
        <v>536611849</v>
      </c>
      <c r="AC63" s="67">
        <v>462281976</v>
      </c>
      <c r="AD63" s="67">
        <v>585682639</v>
      </c>
      <c r="AE63" s="67"/>
      <c r="AF63" s="67">
        <v>113293089</v>
      </c>
      <c r="AG63" s="67"/>
      <c r="AH63" s="23">
        <f>SUM(C63:AG63)</f>
        <v>9031133165</v>
      </c>
      <c r="AI63" s="17"/>
    </row>
    <row r="64" spans="1:35">
      <c r="A64" s="11" t="s">
        <v>38</v>
      </c>
      <c r="B64" s="26">
        <v>0</v>
      </c>
      <c r="C64" s="68">
        <v>615423098</v>
      </c>
      <c r="D64" s="68"/>
      <c r="E64" s="61"/>
      <c r="F64" s="67"/>
      <c r="G64" s="67"/>
      <c r="H64" s="26"/>
      <c r="I64" s="26"/>
      <c r="J64" s="67"/>
      <c r="K64" s="67"/>
      <c r="L64" s="67"/>
      <c r="M64" s="67"/>
      <c r="N64" s="78"/>
      <c r="O64" s="65">
        <v>529230125</v>
      </c>
      <c r="P64" s="68">
        <v>809901118</v>
      </c>
      <c r="Q64" s="78"/>
      <c r="R64" s="42">
        <v>473595081</v>
      </c>
      <c r="S64" s="26"/>
      <c r="U64" s="110"/>
      <c r="V64" s="41"/>
      <c r="W64" s="65">
        <v>292016988</v>
      </c>
      <c r="X64" s="41"/>
      <c r="Y64" s="65">
        <v>554734117</v>
      </c>
      <c r="Z64" s="78"/>
      <c r="AA64" s="67"/>
      <c r="AB64" s="94">
        <v>409052623</v>
      </c>
      <c r="AC64" s="67">
        <v>586269206</v>
      </c>
      <c r="AD64" s="67"/>
      <c r="AE64" s="67"/>
      <c r="AF64" s="41"/>
      <c r="AH64" s="23">
        <f t="shared" si="2"/>
        <v>4270222356</v>
      </c>
      <c r="AI64" s="17"/>
    </row>
    <row r="65" spans="1:35">
      <c r="A65" s="11" t="s">
        <v>39</v>
      </c>
      <c r="B65" s="26">
        <v>0</v>
      </c>
      <c r="C65" s="69"/>
      <c r="D65" s="65"/>
      <c r="E65" s="6"/>
      <c r="F65" s="67"/>
      <c r="G65" s="67">
        <v>746840631</v>
      </c>
      <c r="H65" s="67">
        <v>721879345</v>
      </c>
      <c r="I65" s="67">
        <v>1123538811</v>
      </c>
      <c r="J65" s="67">
        <v>779991520</v>
      </c>
      <c r="K65" s="67">
        <v>1194458424</v>
      </c>
      <c r="L65" s="67"/>
      <c r="M65" s="67"/>
      <c r="N65" s="67"/>
      <c r="O65" s="65">
        <v>944543239</v>
      </c>
      <c r="P65" s="68">
        <v>752044866</v>
      </c>
      <c r="Q65" s="67">
        <v>741716792</v>
      </c>
      <c r="R65" s="67">
        <v>649594742</v>
      </c>
      <c r="S65" s="67"/>
      <c r="T65" s="67"/>
      <c r="V65" s="67">
        <v>933164959</v>
      </c>
      <c r="W65" s="67">
        <v>630542599</v>
      </c>
      <c r="X65" s="42"/>
      <c r="Y65" s="65">
        <v>911344449</v>
      </c>
      <c r="Z65" s="67"/>
      <c r="AA65" s="67"/>
      <c r="AB65" s="105">
        <v>923500759</v>
      </c>
      <c r="AC65" s="67">
        <v>749150349</v>
      </c>
      <c r="AD65" s="67">
        <v>865969184</v>
      </c>
      <c r="AE65" s="67"/>
      <c r="AF65" s="67">
        <v>2283950764</v>
      </c>
      <c r="AG65" s="67"/>
      <c r="AH65" s="23">
        <f t="shared" si="2"/>
        <v>14952231433</v>
      </c>
      <c r="AI65" s="17"/>
    </row>
    <row r="66" spans="1:35">
      <c r="A66" s="11" t="s">
        <v>40</v>
      </c>
      <c r="B66" s="26">
        <v>0</v>
      </c>
      <c r="C66" s="68"/>
      <c r="D66" s="68"/>
      <c r="E66" s="26"/>
      <c r="F66" s="67"/>
      <c r="G66" s="6">
        <v>751681321</v>
      </c>
      <c r="H66" s="26"/>
      <c r="I66" s="41"/>
      <c r="J66" s="65"/>
      <c r="K66" s="67"/>
      <c r="L66" s="26"/>
      <c r="M66" s="26"/>
      <c r="N66" s="26"/>
      <c r="O66" s="26"/>
      <c r="P66" s="54"/>
      <c r="Q66" s="67"/>
      <c r="R66" s="67">
        <v>754997493</v>
      </c>
      <c r="S66" s="26"/>
      <c r="T66" s="26"/>
      <c r="U66" s="110"/>
      <c r="W66" s="65">
        <v>360059845</v>
      </c>
      <c r="X66" s="42"/>
      <c r="Y66" s="42">
        <v>363076245</v>
      </c>
      <c r="Z66" s="78"/>
      <c r="AA66" s="67"/>
      <c r="AB66" s="94"/>
      <c r="AC66" s="67">
        <v>756033114</v>
      </c>
      <c r="AD66" s="67"/>
      <c r="AE66" s="26"/>
      <c r="AF66" s="26"/>
      <c r="AG66" s="26"/>
      <c r="AH66" s="23">
        <f t="shared" si="2"/>
        <v>2985848018</v>
      </c>
      <c r="AI66" s="17"/>
    </row>
    <row r="67" spans="1:35">
      <c r="A67" s="27" t="s">
        <v>41</v>
      </c>
      <c r="B67" s="28"/>
      <c r="C67" s="70">
        <f t="shared" ref="C67:AH67" si="3">SUM(C57:C66)</f>
        <v>4587388127</v>
      </c>
      <c r="D67" s="70">
        <f t="shared" si="3"/>
        <v>0</v>
      </c>
      <c r="E67" s="29">
        <f t="shared" si="3"/>
        <v>0</v>
      </c>
      <c r="F67" s="29">
        <f t="shared" si="3"/>
        <v>0</v>
      </c>
      <c r="G67" s="29">
        <f t="shared" si="3"/>
        <v>4793358089</v>
      </c>
      <c r="H67" s="29">
        <f t="shared" si="3"/>
        <v>3956699091</v>
      </c>
      <c r="I67" s="29">
        <f>SUM(I57:I66)</f>
        <v>4046394761</v>
      </c>
      <c r="J67" s="70">
        <f>SUM(J57:J65)</f>
        <v>4536995588</v>
      </c>
      <c r="K67" s="70">
        <f t="shared" si="3"/>
        <v>4225561380</v>
      </c>
      <c r="L67" s="29">
        <f t="shared" si="3"/>
        <v>0</v>
      </c>
      <c r="M67" s="29">
        <f t="shared" si="3"/>
        <v>0</v>
      </c>
      <c r="N67" s="29">
        <f t="shared" si="3"/>
        <v>3845395686</v>
      </c>
      <c r="O67" s="29">
        <f t="shared" si="3"/>
        <v>4042050080</v>
      </c>
      <c r="P67" s="29">
        <f t="shared" si="3"/>
        <v>4122393236</v>
      </c>
      <c r="Q67" s="29">
        <f t="shared" si="3"/>
        <v>4000616359</v>
      </c>
      <c r="R67" s="29">
        <f t="shared" si="3"/>
        <v>3560536875</v>
      </c>
      <c r="S67" s="29">
        <f t="shared" si="3"/>
        <v>0</v>
      </c>
      <c r="T67" s="29">
        <f t="shared" si="3"/>
        <v>0</v>
      </c>
      <c r="U67" s="29">
        <f t="shared" si="3"/>
        <v>3063092640</v>
      </c>
      <c r="V67" s="29">
        <f t="shared" si="3"/>
        <v>2358413862</v>
      </c>
      <c r="W67" s="29">
        <f>SUM(W57:W66)</f>
        <v>3189613462</v>
      </c>
      <c r="X67" s="29">
        <f>SUM(X57:X66)</f>
        <v>2171902638</v>
      </c>
      <c r="Y67" s="29">
        <f t="shared" si="3"/>
        <v>2590461063</v>
      </c>
      <c r="Z67" s="29">
        <f t="shared" si="3"/>
        <v>0</v>
      </c>
      <c r="AA67" s="29">
        <f t="shared" si="3"/>
        <v>0</v>
      </c>
      <c r="AB67" s="29">
        <f t="shared" si="3"/>
        <v>4126345077</v>
      </c>
      <c r="AC67" s="29">
        <f t="shared" si="3"/>
        <v>2553734645</v>
      </c>
      <c r="AD67" s="29">
        <f t="shared" si="3"/>
        <v>3969172312</v>
      </c>
      <c r="AE67" s="29">
        <f t="shared" si="3"/>
        <v>3902040282</v>
      </c>
      <c r="AF67" s="29">
        <f t="shared" si="3"/>
        <v>5986327547</v>
      </c>
      <c r="AG67" s="29">
        <f t="shared" si="3"/>
        <v>0</v>
      </c>
      <c r="AH67" s="30">
        <f t="shared" si="3"/>
        <v>79628492800</v>
      </c>
      <c r="AI67" s="6"/>
    </row>
    <row r="68" spans="1:35">
      <c r="A68" s="387" t="s">
        <v>42</v>
      </c>
      <c r="B68" s="388"/>
      <c r="C68" s="71">
        <f t="shared" ref="C68:AG68" si="4">C54+C67</f>
        <v>5185449687</v>
      </c>
      <c r="D68" s="71">
        <f t="shared" si="4"/>
        <v>0</v>
      </c>
      <c r="E68" s="31">
        <f t="shared" si="4"/>
        <v>0</v>
      </c>
      <c r="F68" s="31">
        <f t="shared" si="4"/>
        <v>0</v>
      </c>
      <c r="G68" s="31">
        <f t="shared" si="4"/>
        <v>6335963637</v>
      </c>
      <c r="H68" s="31">
        <f t="shared" si="4"/>
        <v>4248284004</v>
      </c>
      <c r="I68" s="31">
        <f t="shared" si="4"/>
        <v>4302253737</v>
      </c>
      <c r="J68" s="71">
        <f t="shared" si="4"/>
        <v>5118860732</v>
      </c>
      <c r="K68" s="71">
        <f t="shared" si="4"/>
        <v>4475561380</v>
      </c>
      <c r="L68" s="31">
        <f t="shared" si="4"/>
        <v>0</v>
      </c>
      <c r="M68" s="31">
        <f t="shared" si="4"/>
        <v>0</v>
      </c>
      <c r="N68" s="31">
        <f t="shared" si="4"/>
        <v>4578295653</v>
      </c>
      <c r="O68" s="31">
        <f t="shared" si="4"/>
        <v>4231116986</v>
      </c>
      <c r="P68" s="31">
        <f t="shared" si="4"/>
        <v>4138981010</v>
      </c>
      <c r="Q68" s="31">
        <f t="shared" si="4"/>
        <v>4153601308</v>
      </c>
      <c r="R68" s="31">
        <f t="shared" si="4"/>
        <v>4686897495</v>
      </c>
      <c r="S68" s="31">
        <f t="shared" si="4"/>
        <v>0</v>
      </c>
      <c r="T68" s="31">
        <f t="shared" si="4"/>
        <v>0</v>
      </c>
      <c r="U68" s="31">
        <f t="shared" si="4"/>
        <v>6462087469</v>
      </c>
      <c r="V68" s="31">
        <f t="shared" si="4"/>
        <v>2712591057</v>
      </c>
      <c r="W68" s="31">
        <f t="shared" si="4"/>
        <v>3216495347</v>
      </c>
      <c r="X68" s="31">
        <f t="shared" si="4"/>
        <v>2556259962</v>
      </c>
      <c r="Y68" s="31">
        <f t="shared" si="4"/>
        <v>3452348578</v>
      </c>
      <c r="Z68" s="31">
        <f t="shared" si="4"/>
        <v>0</v>
      </c>
      <c r="AA68" s="31">
        <f t="shared" si="4"/>
        <v>0</v>
      </c>
      <c r="AB68" s="31">
        <f t="shared" si="4"/>
        <v>4655904995</v>
      </c>
      <c r="AC68" s="31">
        <f t="shared" si="4"/>
        <v>5071632756</v>
      </c>
      <c r="AD68" s="31">
        <f t="shared" si="4"/>
        <v>4187181662</v>
      </c>
      <c r="AE68" s="31">
        <f t="shared" si="4"/>
        <v>4491113162</v>
      </c>
      <c r="AF68" s="31">
        <f t="shared" si="4"/>
        <v>10481386414</v>
      </c>
      <c r="AG68" s="31">
        <f t="shared" si="4"/>
        <v>0</v>
      </c>
      <c r="AH68" s="31">
        <f>SUM(C68:AG68)</f>
        <v>98742267031</v>
      </c>
    </row>
    <row r="70" spans="1:35">
      <c r="A70" s="3" t="s">
        <v>50</v>
      </c>
      <c r="C70" s="72">
        <v>7891332924</v>
      </c>
      <c r="D70" s="72"/>
      <c r="E70" s="6"/>
      <c r="F70" s="6"/>
      <c r="G70" s="6">
        <v>9959299705</v>
      </c>
      <c r="H70" s="6">
        <v>12215414868</v>
      </c>
      <c r="I70" s="6">
        <v>10641111127</v>
      </c>
      <c r="J70" s="6">
        <v>9807127763</v>
      </c>
      <c r="K70" s="72">
        <v>8270395967</v>
      </c>
      <c r="L70" s="6"/>
      <c r="M70" s="6"/>
      <c r="N70" s="6">
        <v>10111543775</v>
      </c>
      <c r="O70" s="6">
        <v>8590982795</v>
      </c>
      <c r="P70" s="6">
        <v>7687189052</v>
      </c>
      <c r="Q70" s="6">
        <v>6725997019</v>
      </c>
      <c r="R70" s="6">
        <v>6734088483</v>
      </c>
      <c r="S70" s="6"/>
      <c r="T70" s="6"/>
      <c r="U70" s="6">
        <v>8264636827</v>
      </c>
      <c r="V70" s="6">
        <v>6041628992</v>
      </c>
      <c r="W70" s="6">
        <v>9593550160</v>
      </c>
      <c r="X70" s="6">
        <v>9836309805</v>
      </c>
      <c r="Y70" s="6">
        <v>10740812203</v>
      </c>
      <c r="Z70" s="6"/>
      <c r="AA70" s="6"/>
      <c r="AB70" s="40">
        <v>13838829044</v>
      </c>
      <c r="AC70" s="6">
        <v>13356028347</v>
      </c>
      <c r="AD70" s="6">
        <v>12168213706</v>
      </c>
      <c r="AE70" s="6">
        <v>11288615286</v>
      </c>
      <c r="AF70" s="6">
        <v>10614054002</v>
      </c>
      <c r="AG70" s="6">
        <v>9445195321</v>
      </c>
    </row>
    <row r="71" spans="1:35">
      <c r="A71" s="3" t="s">
        <v>110</v>
      </c>
      <c r="C71" s="72"/>
      <c r="D71" s="74"/>
      <c r="E71" s="43"/>
      <c r="F71" s="43"/>
      <c r="G71" s="43"/>
      <c r="H71" s="43"/>
      <c r="I71" s="43"/>
      <c r="J71" s="80"/>
      <c r="K71" s="80"/>
      <c r="M71" s="43"/>
      <c r="N71" s="40"/>
      <c r="O71" s="40"/>
      <c r="P71" s="40"/>
      <c r="Q71" s="40">
        <f>Q70-Q68</f>
        <v>2572395711</v>
      </c>
      <c r="R71" s="43">
        <f>R70-R68</f>
        <v>2047190988</v>
      </c>
      <c r="S71" s="6"/>
      <c r="T71" s="6"/>
      <c r="U71" s="40">
        <f>U70-U68</f>
        <v>1802549358</v>
      </c>
      <c r="V71" s="40">
        <f>V70-V68</f>
        <v>3329037935</v>
      </c>
      <c r="W71" s="43">
        <f>W70-W68</f>
        <v>6377054813</v>
      </c>
      <c r="X71" s="40">
        <f>X70-X68</f>
        <v>7280049843</v>
      </c>
      <c r="Y71" s="40">
        <f>Y70-Y68</f>
        <v>7288463625</v>
      </c>
      <c r="Z71" s="6"/>
      <c r="AA71" s="6"/>
      <c r="AB71" s="40"/>
      <c r="AC71" s="43">
        <f>AC70-AC68</f>
        <v>8284395591</v>
      </c>
      <c r="AD71" s="40">
        <f>AD70-AD68</f>
        <v>7981032044</v>
      </c>
      <c r="AE71" s="43">
        <f>AE70-AE68</f>
        <v>6797502124</v>
      </c>
      <c r="AF71" s="67">
        <f>AF70-AF68</f>
        <v>132667588</v>
      </c>
      <c r="AG71" s="67"/>
    </row>
    <row r="72" spans="1:35">
      <c r="C72" s="72"/>
      <c r="R72" s="6"/>
      <c r="T72" s="6"/>
      <c r="AA72" s="6"/>
      <c r="AF72" s="6"/>
    </row>
    <row r="73" spans="1:35">
      <c r="M73" s="3" t="s">
        <v>112</v>
      </c>
    </row>
    <row r="74" spans="1:35">
      <c r="M74" s="3" t="s">
        <v>112</v>
      </c>
    </row>
    <row r="75" spans="1:35">
      <c r="G75" s="3" t="s">
        <v>112</v>
      </c>
    </row>
    <row r="76" spans="1:35">
      <c r="G76" s="3" t="s">
        <v>107</v>
      </c>
      <c r="AD76" s="41" t="s">
        <v>120</v>
      </c>
      <c r="AE76" s="42">
        <v>35472809</v>
      </c>
      <c r="AF76" s="41" t="s">
        <v>128</v>
      </c>
      <c r="AG76" s="116">
        <f>12601000+58786100+70661200</f>
        <v>142048300</v>
      </c>
      <c r="AH76" s="41" t="s">
        <v>131</v>
      </c>
      <c r="AI76" s="42">
        <v>24220575</v>
      </c>
    </row>
    <row r="77" spans="1:35">
      <c r="C77" s="3"/>
      <c r="D77" s="3"/>
      <c r="AD77" s="41" t="s">
        <v>121</v>
      </c>
      <c r="AE77" s="42">
        <v>14204180</v>
      </c>
      <c r="AF77" s="41" t="s">
        <v>129</v>
      </c>
      <c r="AG77" s="116">
        <v>1130000</v>
      </c>
      <c r="AH77" s="41" t="s">
        <v>132</v>
      </c>
      <c r="AI77" s="42">
        <v>29013000</v>
      </c>
    </row>
    <row r="78" spans="1:35">
      <c r="AD78" s="41" t="s">
        <v>122</v>
      </c>
      <c r="AE78" s="42">
        <v>38068270</v>
      </c>
      <c r="AF78" s="41" t="s">
        <v>130</v>
      </c>
      <c r="AG78" s="116">
        <v>124601500</v>
      </c>
      <c r="AH78" s="41" t="s">
        <v>127</v>
      </c>
      <c r="AI78" s="42">
        <v>43960805</v>
      </c>
    </row>
    <row r="79" spans="1:35" ht="15">
      <c r="C79" s="3"/>
      <c r="D79" s="3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/>
      <c r="X79"/>
      <c r="Y79"/>
      <c r="AD79" s="41" t="s">
        <v>123</v>
      </c>
      <c r="AE79" s="42">
        <v>37755482</v>
      </c>
      <c r="AF79" s="32" t="s">
        <v>6</v>
      </c>
      <c r="AG79" s="117">
        <f>SUM(AG76:AG78)</f>
        <v>267779800</v>
      </c>
      <c r="AH79" s="41" t="s">
        <v>133</v>
      </c>
      <c r="AI79" s="42">
        <v>16297393</v>
      </c>
    </row>
    <row r="80" spans="1:35" ht="15">
      <c r="C80" s="3"/>
      <c r="D80" s="3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/>
      <c r="X80"/>
      <c r="Y80"/>
      <c r="AD80" s="41" t="s">
        <v>124</v>
      </c>
      <c r="AE80" s="42">
        <v>120074200</v>
      </c>
      <c r="AG80" s="6"/>
      <c r="AH80" s="41" t="s">
        <v>134</v>
      </c>
      <c r="AI80" s="42">
        <v>71402128</v>
      </c>
    </row>
    <row r="81" spans="3:35" ht="15">
      <c r="C81" s="3"/>
      <c r="D81" s="3"/>
      <c r="M81" s="45"/>
      <c r="N81" s="45"/>
      <c r="O81" s="45"/>
      <c r="P81" s="45"/>
      <c r="Q81" s="45" t="s">
        <v>108</v>
      </c>
      <c r="R81" s="45"/>
      <c r="S81" s="45"/>
      <c r="T81" s="45"/>
      <c r="U81" s="45"/>
      <c r="V81" s="45"/>
      <c r="W81"/>
      <c r="X81"/>
      <c r="Y81"/>
      <c r="AC81" s="3" t="s">
        <v>111</v>
      </c>
      <c r="AD81" s="41" t="s">
        <v>125</v>
      </c>
      <c r="AE81" s="42">
        <v>39264697</v>
      </c>
      <c r="AG81" s="6"/>
      <c r="AH81" s="41" t="s">
        <v>135</v>
      </c>
      <c r="AI81" s="42">
        <v>70219456</v>
      </c>
    </row>
    <row r="82" spans="3:35" ht="15">
      <c r="C82" s="3"/>
      <c r="D82" s="3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/>
      <c r="X82"/>
      <c r="Y82"/>
      <c r="AD82" s="41" t="s">
        <v>126</v>
      </c>
      <c r="AE82" s="42">
        <v>3066461</v>
      </c>
      <c r="AG82" s="6"/>
      <c r="AH82" s="41" t="s">
        <v>120</v>
      </c>
      <c r="AI82" s="42">
        <v>6461250</v>
      </c>
    </row>
    <row r="83" spans="3:35" ht="15">
      <c r="C83" s="3"/>
      <c r="D83" s="3"/>
      <c r="M83" s="45"/>
      <c r="N83" s="45"/>
      <c r="O83" s="45"/>
      <c r="P83" s="45"/>
      <c r="Q83" s="45"/>
      <c r="R83" s="45"/>
      <c r="S83" s="45"/>
      <c r="T83" s="45"/>
      <c r="U83" s="45"/>
      <c r="V83" s="45" t="s">
        <v>95</v>
      </c>
      <c r="W83"/>
      <c r="X83"/>
      <c r="Y83"/>
      <c r="AD83" s="41" t="s">
        <v>127</v>
      </c>
      <c r="AE83" s="42">
        <v>1150000</v>
      </c>
      <c r="AG83" s="6"/>
      <c r="AH83" s="41" t="s">
        <v>121</v>
      </c>
      <c r="AI83" s="42">
        <v>2735500</v>
      </c>
    </row>
    <row r="84" spans="3:35" ht="15">
      <c r="C84" s="3"/>
      <c r="D84" s="3"/>
      <c r="M84" s="45"/>
      <c r="N84" s="45"/>
      <c r="O84" s="45"/>
      <c r="P84" s="45"/>
      <c r="Q84" s="45"/>
      <c r="R84" s="45"/>
      <c r="S84" s="45"/>
      <c r="T84" s="45"/>
      <c r="U84" s="45"/>
      <c r="V84" s="45" t="s">
        <v>96</v>
      </c>
      <c r="W84"/>
      <c r="X84">
        <v>2</v>
      </c>
      <c r="Y84"/>
      <c r="AD84" s="32" t="s">
        <v>6</v>
      </c>
      <c r="AE84" s="115">
        <f>SUM(AE76:AE83)</f>
        <v>289056099</v>
      </c>
      <c r="AH84" s="41" t="s">
        <v>136</v>
      </c>
      <c r="AI84" s="42">
        <v>26692000</v>
      </c>
    </row>
    <row r="85" spans="3:35" ht="15">
      <c r="C85" s="3"/>
      <c r="D85" s="3"/>
      <c r="M85" s="45" t="s">
        <v>97</v>
      </c>
      <c r="N85" s="45"/>
      <c r="O85" s="45"/>
      <c r="P85" s="45"/>
      <c r="Q85" s="45"/>
      <c r="R85" s="45"/>
      <c r="S85" s="45"/>
      <c r="T85" s="45"/>
      <c r="U85" s="45"/>
      <c r="V85" s="45" t="s">
        <v>98</v>
      </c>
      <c r="W85"/>
      <c r="X85">
        <v>2</v>
      </c>
      <c r="Y85"/>
      <c r="AH85" s="41" t="s">
        <v>123</v>
      </c>
      <c r="AI85" s="42">
        <v>27332750</v>
      </c>
    </row>
    <row r="86" spans="3:35" ht="15">
      <c r="C86" s="3"/>
      <c r="D86" s="3"/>
      <c r="M86" s="45"/>
      <c r="N86" s="45"/>
      <c r="O86" s="45"/>
      <c r="P86" s="45"/>
      <c r="Q86" s="45"/>
      <c r="R86" s="45"/>
      <c r="S86" s="45"/>
      <c r="T86" s="45"/>
      <c r="U86" s="45"/>
      <c r="V86" s="45" t="s">
        <v>99</v>
      </c>
      <c r="W86"/>
      <c r="X86">
        <v>10</v>
      </c>
      <c r="Y86"/>
      <c r="AH86" s="41" t="s">
        <v>124</v>
      </c>
      <c r="AI86" s="42">
        <v>46899155</v>
      </c>
    </row>
    <row r="87" spans="3:35" ht="15">
      <c r="C87" s="3"/>
      <c r="D87" s="3"/>
      <c r="M87"/>
      <c r="N87"/>
      <c r="O87" s="46"/>
      <c r="P87" s="46"/>
      <c r="Q87" s="46"/>
      <c r="R87" s="46"/>
      <c r="S87" s="46"/>
      <c r="T87" s="46"/>
      <c r="U87" s="46"/>
      <c r="V87" s="47" t="s">
        <v>100</v>
      </c>
      <c r="W87" s="46" t="s">
        <v>101</v>
      </c>
      <c r="X87"/>
      <c r="Y87"/>
      <c r="AH87" s="41" t="s">
        <v>125</v>
      </c>
      <c r="AI87" s="42">
        <v>43312000</v>
      </c>
    </row>
    <row r="88" spans="3:35" ht="15">
      <c r="C88" s="3"/>
      <c r="D88" s="3"/>
      <c r="M88"/>
      <c r="N88"/>
      <c r="O88" s="46"/>
      <c r="P88" s="46"/>
      <c r="Q88" s="46"/>
      <c r="R88" s="46"/>
      <c r="S88" s="46"/>
      <c r="T88" s="46"/>
      <c r="U88" s="46"/>
      <c r="V88" s="47"/>
      <c r="W88" s="46"/>
      <c r="X88"/>
      <c r="Y88"/>
      <c r="AH88" s="41" t="s">
        <v>138</v>
      </c>
      <c r="AI88" s="42">
        <v>2134000</v>
      </c>
    </row>
    <row r="89" spans="3:35" ht="15">
      <c r="C89" s="3"/>
      <c r="D89" s="3"/>
      <c r="M89"/>
      <c r="N89"/>
      <c r="O89" s="46"/>
      <c r="P89" s="46"/>
      <c r="Q89" s="46"/>
      <c r="R89" s="46"/>
      <c r="S89" s="46"/>
      <c r="T89" s="46"/>
      <c r="U89" s="46"/>
      <c r="V89" s="46"/>
      <c r="W89" s="46"/>
      <c r="X89"/>
      <c r="Y89"/>
      <c r="AH89" s="41" t="s">
        <v>137</v>
      </c>
      <c r="AI89" s="42">
        <v>353453</v>
      </c>
    </row>
    <row r="90" spans="3:35">
      <c r="AH90" s="32" t="s">
        <v>6</v>
      </c>
      <c r="AI90" s="115">
        <f>SUM(AI76:AI89)</f>
        <v>411033465</v>
      </c>
    </row>
    <row r="91" spans="3:35">
      <c r="AI91" s="6"/>
    </row>
    <row r="92" spans="3:35">
      <c r="AI92" s="6"/>
    </row>
    <row r="93" spans="3:35">
      <c r="AI93" s="6"/>
    </row>
    <row r="94" spans="3:35">
      <c r="AI94" s="6"/>
    </row>
    <row r="95" spans="3:35">
      <c r="AI95" s="6"/>
    </row>
    <row r="96" spans="3:35">
      <c r="AI96" s="6"/>
    </row>
  </sheetData>
  <mergeCells count="2">
    <mergeCell ref="C4:AG4"/>
    <mergeCell ref="A68:B68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08"/>
  <sheetViews>
    <sheetView topLeftCell="A31" workbookViewId="0">
      <pane xSplit="1" topLeftCell="AC1" activePane="topRight" state="frozen"/>
      <selection pane="topRight" activeCell="A51" sqref="A51:XFD51"/>
    </sheetView>
  </sheetViews>
  <sheetFormatPr defaultRowHeight="12.75"/>
  <cols>
    <col min="1" max="1" width="31" style="3" customWidth="1"/>
    <col min="2" max="2" width="10.28515625" style="3" customWidth="1"/>
    <col min="3" max="3" width="18" style="64" customWidth="1"/>
    <col min="4" max="4" width="16.140625" style="64" customWidth="1"/>
    <col min="5" max="5" width="16.140625" style="3" customWidth="1"/>
    <col min="6" max="6" width="17.140625" style="3" customWidth="1"/>
    <col min="7" max="7" width="17.5703125" style="3" customWidth="1"/>
    <col min="8" max="8" width="17" style="3" customWidth="1"/>
    <col min="9" max="9" width="17.42578125" style="3" customWidth="1"/>
    <col min="10" max="10" width="17.5703125" style="64" customWidth="1"/>
    <col min="11" max="11" width="16.85546875" style="64" customWidth="1"/>
    <col min="12" max="12" width="16.5703125" style="3" customWidth="1"/>
    <col min="13" max="14" width="17.5703125" style="3" customWidth="1"/>
    <col min="15" max="15" width="18.28515625" style="3" customWidth="1"/>
    <col min="16" max="16" width="16" style="3" customWidth="1"/>
    <col min="17" max="17" width="18.7109375" style="3" customWidth="1"/>
    <col min="18" max="18" width="17.28515625" style="3" customWidth="1"/>
    <col min="19" max="19" width="17.140625" style="3" customWidth="1"/>
    <col min="20" max="20" width="18.28515625" style="3" customWidth="1"/>
    <col min="21" max="22" width="15.28515625" style="3" customWidth="1"/>
    <col min="23" max="23" width="16.5703125" style="3" customWidth="1"/>
    <col min="24" max="24" width="17" style="3" customWidth="1"/>
    <col min="25" max="25" width="16" style="3" customWidth="1"/>
    <col min="26" max="26" width="15.28515625" style="3" customWidth="1"/>
    <col min="27" max="27" width="17" style="3" customWidth="1"/>
    <col min="28" max="28" width="15.5703125" style="3" customWidth="1"/>
    <col min="29" max="29" width="16.140625" style="3" customWidth="1"/>
    <col min="30" max="30" width="21.7109375" style="3" customWidth="1"/>
    <col min="31" max="31" width="16.28515625" style="3" customWidth="1"/>
    <col min="32" max="32" width="17.5703125" style="3" customWidth="1"/>
    <col min="33" max="33" width="15" style="3" customWidth="1"/>
    <col min="34" max="34" width="20.28515625" style="3" customWidth="1"/>
    <col min="35" max="35" width="13" style="3" customWidth="1"/>
    <col min="36" max="36" width="12.85546875" style="3" customWidth="1"/>
    <col min="37" max="37" width="11.28515625" style="3" bestFit="1" customWidth="1"/>
    <col min="38" max="16384" width="9.140625" style="3"/>
  </cols>
  <sheetData>
    <row r="1" spans="1:35">
      <c r="A1" s="1" t="s">
        <v>0</v>
      </c>
      <c r="B1" s="2"/>
      <c r="C1" s="62"/>
      <c r="D1" s="62"/>
      <c r="E1" s="2"/>
      <c r="F1" s="2"/>
      <c r="G1" s="2"/>
      <c r="H1" s="2"/>
      <c r="I1" s="2"/>
      <c r="J1" s="62"/>
      <c r="K1" s="6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s="6" customFormat="1">
      <c r="A2" s="4" t="s">
        <v>1</v>
      </c>
      <c r="B2" s="5"/>
      <c r="C2" s="63"/>
      <c r="D2" s="63"/>
      <c r="E2" s="5"/>
      <c r="F2" s="5"/>
      <c r="G2" s="5"/>
      <c r="H2" s="5"/>
      <c r="I2" s="5"/>
      <c r="J2" s="63"/>
      <c r="K2" s="63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>
      <c r="A3" s="7" t="s">
        <v>2</v>
      </c>
      <c r="B3" s="8">
        <v>44317</v>
      </c>
      <c r="C3" s="63"/>
      <c r="D3" s="63"/>
      <c r="E3" s="5"/>
      <c r="F3" s="5"/>
      <c r="G3" s="5"/>
      <c r="H3" s="5"/>
      <c r="I3" s="5"/>
      <c r="J3" s="63"/>
      <c r="K3" s="63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>
      <c r="A4" s="34" t="s">
        <v>3</v>
      </c>
      <c r="B4" s="35" t="s">
        <v>4</v>
      </c>
      <c r="C4" s="384" t="s">
        <v>5</v>
      </c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6"/>
      <c r="AH4" s="36" t="s">
        <v>6</v>
      </c>
      <c r="AI4" s="6"/>
    </row>
    <row r="5" spans="1:35">
      <c r="A5" s="34"/>
      <c r="B5" s="35"/>
      <c r="C5" s="37">
        <v>124</v>
      </c>
      <c r="D5" s="37">
        <v>125</v>
      </c>
      <c r="E5" s="37">
        <v>126</v>
      </c>
      <c r="F5" s="37">
        <v>127</v>
      </c>
      <c r="G5" s="37">
        <v>128</v>
      </c>
      <c r="H5" s="37">
        <v>129</v>
      </c>
      <c r="I5" s="37">
        <v>130</v>
      </c>
      <c r="J5" s="37">
        <v>131</v>
      </c>
      <c r="K5" s="37">
        <v>132</v>
      </c>
      <c r="L5" s="37">
        <v>133</v>
      </c>
      <c r="M5" s="37">
        <v>134</v>
      </c>
      <c r="N5" s="37">
        <v>135</v>
      </c>
      <c r="O5" s="37">
        <v>136</v>
      </c>
      <c r="P5" s="37">
        <v>137</v>
      </c>
      <c r="Q5" s="37">
        <v>138</v>
      </c>
      <c r="R5" s="37">
        <v>139</v>
      </c>
      <c r="S5" s="37">
        <v>140</v>
      </c>
      <c r="T5" s="37">
        <v>141</v>
      </c>
      <c r="U5" s="37">
        <v>142</v>
      </c>
      <c r="V5" s="37">
        <v>143</v>
      </c>
      <c r="W5" s="37">
        <v>144</v>
      </c>
      <c r="X5" s="37">
        <v>145</v>
      </c>
      <c r="Y5" s="37">
        <v>146</v>
      </c>
      <c r="Z5" s="37">
        <v>147</v>
      </c>
      <c r="AA5" s="37">
        <v>148</v>
      </c>
      <c r="AB5" s="37">
        <v>149</v>
      </c>
      <c r="AC5" s="37">
        <v>150</v>
      </c>
      <c r="AD5" s="37">
        <v>151</v>
      </c>
      <c r="AE5" s="37">
        <v>152</v>
      </c>
      <c r="AF5" s="37">
        <v>153</v>
      </c>
      <c r="AG5" s="37">
        <v>154</v>
      </c>
      <c r="AH5" s="36"/>
      <c r="AI5" s="6"/>
    </row>
    <row r="6" spans="1:35">
      <c r="A6" s="10" t="s">
        <v>7</v>
      </c>
      <c r="B6" s="11"/>
      <c r="C6" s="13"/>
      <c r="D6" s="13"/>
      <c r="E6" s="14"/>
      <c r="F6" s="14"/>
      <c r="G6" s="14"/>
      <c r="H6" s="14"/>
      <c r="I6" s="14"/>
      <c r="J6" s="13"/>
      <c r="K6" s="13"/>
      <c r="L6" s="14"/>
      <c r="M6" s="14"/>
      <c r="N6" s="14"/>
      <c r="O6" s="13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13"/>
      <c r="AC6" s="14"/>
      <c r="AD6" s="14"/>
      <c r="AE6" s="14"/>
      <c r="AF6" s="14"/>
      <c r="AG6" s="14"/>
      <c r="AH6" s="12"/>
      <c r="AI6" s="6"/>
    </row>
    <row r="7" spans="1:35">
      <c r="A7" s="15" t="s">
        <v>48</v>
      </c>
      <c r="B7" s="11"/>
      <c r="C7" s="13"/>
      <c r="D7" s="73"/>
      <c r="E7" s="48"/>
      <c r="F7" s="48"/>
      <c r="G7" s="48"/>
      <c r="H7" s="49"/>
      <c r="I7" s="48"/>
      <c r="J7" s="73"/>
      <c r="K7" s="73"/>
      <c r="L7" s="48"/>
      <c r="M7" s="48"/>
      <c r="N7" s="87"/>
      <c r="O7" s="50"/>
      <c r="P7" s="48"/>
      <c r="Q7" s="48"/>
      <c r="R7" s="73"/>
      <c r="S7" s="49"/>
      <c r="T7" s="73"/>
      <c r="U7" s="73"/>
      <c r="V7" s="48"/>
      <c r="W7" s="48"/>
      <c r="X7" s="48"/>
      <c r="Y7" s="48"/>
      <c r="Z7" s="48"/>
      <c r="AA7" s="48"/>
      <c r="AB7" s="79"/>
      <c r="AC7" s="48"/>
      <c r="AD7" s="48"/>
      <c r="AE7" s="48"/>
      <c r="AF7" s="48"/>
      <c r="AG7" s="48"/>
      <c r="AH7" s="14">
        <f t="shared" ref="AH7:AH27" si="0">SUM(C7:AG7)</f>
        <v>0</v>
      </c>
      <c r="AI7" s="17"/>
    </row>
    <row r="8" spans="1:35">
      <c r="A8" s="15" t="s">
        <v>49</v>
      </c>
      <c r="B8" s="11"/>
      <c r="C8" s="13"/>
      <c r="D8" s="73"/>
      <c r="E8" s="48"/>
      <c r="F8" s="48"/>
      <c r="G8" s="48"/>
      <c r="H8" s="48"/>
      <c r="I8" s="48"/>
      <c r="J8" s="73"/>
      <c r="K8" s="73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79"/>
      <c r="AC8" s="48"/>
      <c r="AD8" s="48"/>
      <c r="AE8" s="48"/>
      <c r="AF8" s="48"/>
      <c r="AG8" s="48"/>
      <c r="AH8" s="14">
        <f t="shared" si="0"/>
        <v>0</v>
      </c>
      <c r="AI8" s="17"/>
    </row>
    <row r="9" spans="1:35">
      <c r="A9" s="15" t="s">
        <v>8</v>
      </c>
      <c r="B9" s="11"/>
      <c r="C9" s="89"/>
      <c r="D9" s="73"/>
      <c r="E9" s="48"/>
      <c r="F9" s="73"/>
      <c r="G9" s="48"/>
      <c r="H9" s="48"/>
      <c r="I9" s="48"/>
      <c r="J9" s="84">
        <v>152353436</v>
      </c>
      <c r="K9" s="73"/>
      <c r="L9" s="73"/>
      <c r="M9" s="48"/>
      <c r="N9" s="50"/>
      <c r="O9" s="48"/>
      <c r="P9" s="48"/>
      <c r="Q9" s="73"/>
      <c r="R9" s="73"/>
      <c r="S9" s="48"/>
      <c r="T9" s="48"/>
      <c r="U9" s="73"/>
      <c r="V9" s="73"/>
      <c r="W9" s="48"/>
      <c r="X9" s="73">
        <v>153896531</v>
      </c>
      <c r="Y9" s="48"/>
      <c r="Z9" s="48"/>
      <c r="AA9" s="48"/>
      <c r="AB9" s="84">
        <v>148808055</v>
      </c>
      <c r="AC9" s="48"/>
      <c r="AD9" s="48"/>
      <c r="AE9" s="73"/>
      <c r="AF9" s="48"/>
      <c r="AG9" s="48"/>
      <c r="AH9" s="14">
        <f t="shared" si="0"/>
        <v>455058022</v>
      </c>
      <c r="AI9" s="17"/>
    </row>
    <row r="10" spans="1:35">
      <c r="A10" s="15" t="s">
        <v>9</v>
      </c>
      <c r="B10" s="11"/>
      <c r="C10" s="89"/>
      <c r="D10" s="73"/>
      <c r="E10" s="48"/>
      <c r="F10" s="48"/>
      <c r="G10" s="48"/>
      <c r="H10" s="48"/>
      <c r="I10" s="48"/>
      <c r="J10" s="84"/>
      <c r="K10" s="73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79"/>
      <c r="AC10" s="48"/>
      <c r="AD10" s="48"/>
      <c r="AE10" s="48"/>
      <c r="AF10" s="48"/>
      <c r="AG10" s="48"/>
      <c r="AH10" s="14">
        <f>SUM(C10:AG10)</f>
        <v>0</v>
      </c>
      <c r="AI10" s="17"/>
    </row>
    <row r="11" spans="1:35">
      <c r="A11" s="15" t="s">
        <v>10</v>
      </c>
      <c r="B11" s="11"/>
      <c r="C11" s="101"/>
      <c r="D11" s="102"/>
      <c r="E11" s="48"/>
      <c r="F11" s="50"/>
      <c r="G11" s="50"/>
      <c r="H11" s="48"/>
      <c r="I11" s="48"/>
      <c r="J11" s="101"/>
      <c r="K11" s="102"/>
      <c r="L11" s="49"/>
      <c r="M11" s="73"/>
      <c r="N11" s="49"/>
      <c r="O11" s="50"/>
      <c r="P11" s="48"/>
      <c r="Q11" s="48"/>
      <c r="R11" s="48"/>
      <c r="S11" s="48"/>
      <c r="T11" s="49"/>
      <c r="U11" s="48"/>
      <c r="V11" s="48"/>
      <c r="W11" s="48"/>
      <c r="X11" s="48"/>
      <c r="Y11" s="48"/>
      <c r="Z11" s="48"/>
      <c r="AA11" s="48"/>
      <c r="AB11" s="49"/>
      <c r="AC11" s="48"/>
      <c r="AD11" s="48"/>
      <c r="AE11" s="48"/>
      <c r="AF11" s="48"/>
      <c r="AG11" s="48"/>
      <c r="AH11" s="14">
        <f>SUM(E11:AG11)</f>
        <v>0</v>
      </c>
      <c r="AI11" s="17"/>
    </row>
    <row r="12" spans="1:35">
      <c r="A12" s="15" t="s">
        <v>11</v>
      </c>
      <c r="B12" s="11"/>
      <c r="C12" s="89"/>
      <c r="D12" s="73"/>
      <c r="E12" s="48"/>
      <c r="F12" s="48"/>
      <c r="G12" s="48"/>
      <c r="H12" s="48"/>
      <c r="I12" s="48"/>
      <c r="J12" s="84"/>
      <c r="K12" s="73"/>
      <c r="L12" s="79"/>
      <c r="M12" s="48"/>
      <c r="N12" s="48"/>
      <c r="O12" s="48"/>
      <c r="P12" s="48"/>
      <c r="Q12" s="48"/>
      <c r="R12" s="48"/>
      <c r="S12" s="48"/>
      <c r="T12" s="73"/>
      <c r="U12" s="48"/>
      <c r="V12" s="48"/>
      <c r="W12" s="48"/>
      <c r="X12" s="48"/>
      <c r="Y12" s="48"/>
      <c r="Z12" s="48"/>
      <c r="AA12" s="48"/>
      <c r="AB12" s="79"/>
      <c r="AC12" s="48"/>
      <c r="AD12" s="48"/>
      <c r="AE12" s="73">
        <v>35000000</v>
      </c>
      <c r="AF12" s="48"/>
      <c r="AG12" s="48"/>
      <c r="AH12" s="14">
        <f t="shared" si="0"/>
        <v>35000000</v>
      </c>
      <c r="AI12" s="17"/>
    </row>
    <row r="13" spans="1:35">
      <c r="A13" s="18" t="s">
        <v>12</v>
      </c>
      <c r="B13" s="11"/>
      <c r="C13" s="89"/>
      <c r="D13" s="73"/>
      <c r="E13" s="48"/>
      <c r="F13" s="48"/>
      <c r="G13" s="48"/>
      <c r="H13" s="48"/>
      <c r="I13" s="48"/>
      <c r="J13" s="84"/>
      <c r="K13" s="73"/>
      <c r="L13" s="79"/>
      <c r="M13" s="48"/>
      <c r="N13" s="48"/>
      <c r="O13" s="48"/>
      <c r="P13" s="48"/>
      <c r="Q13" s="48"/>
      <c r="R13" s="48"/>
      <c r="S13" s="48"/>
      <c r="T13" s="73"/>
      <c r="U13" s="48"/>
      <c r="V13" s="48"/>
      <c r="W13" s="48"/>
      <c r="X13" s="48"/>
      <c r="Y13" s="48"/>
      <c r="Z13" s="48"/>
      <c r="AA13" s="48"/>
      <c r="AB13" s="100"/>
      <c r="AC13" s="48"/>
      <c r="AD13" s="48"/>
      <c r="AE13" s="48"/>
      <c r="AF13" s="48"/>
      <c r="AG13" s="48"/>
      <c r="AH13" s="14">
        <f t="shared" si="0"/>
        <v>0</v>
      </c>
      <c r="AI13" s="17"/>
    </row>
    <row r="14" spans="1:35">
      <c r="A14" s="18" t="s">
        <v>13</v>
      </c>
      <c r="B14" s="11"/>
      <c r="C14" s="13"/>
      <c r="D14" s="73"/>
      <c r="E14" s="48"/>
      <c r="F14" s="48"/>
      <c r="G14" s="48"/>
      <c r="H14" s="48"/>
      <c r="I14" s="48"/>
      <c r="J14" s="73"/>
      <c r="K14" s="73"/>
      <c r="L14" s="48"/>
      <c r="M14" s="48"/>
      <c r="N14" s="48"/>
      <c r="O14" s="48"/>
      <c r="P14" s="48"/>
      <c r="Q14" s="48"/>
      <c r="R14" s="48"/>
      <c r="S14" s="48"/>
      <c r="T14" s="73"/>
      <c r="U14" s="48"/>
      <c r="V14" s="57"/>
      <c r="W14" s="48"/>
      <c r="X14" s="48"/>
      <c r="Y14" s="48"/>
      <c r="Z14" s="48"/>
      <c r="AA14" s="48"/>
      <c r="AB14" s="79"/>
      <c r="AC14" s="48"/>
      <c r="AD14" s="48"/>
      <c r="AE14" s="48"/>
      <c r="AF14" s="48"/>
      <c r="AG14" s="48"/>
      <c r="AH14" s="14">
        <f>SUM(C14:AG14)</f>
        <v>0</v>
      </c>
      <c r="AI14" s="17"/>
    </row>
    <row r="15" spans="1:35">
      <c r="A15" s="18" t="s">
        <v>14</v>
      </c>
      <c r="B15" s="11"/>
      <c r="C15" s="13"/>
      <c r="D15" s="73"/>
      <c r="E15" s="48"/>
      <c r="F15" s="48"/>
      <c r="G15" s="48"/>
      <c r="H15" s="48"/>
      <c r="I15" s="48"/>
      <c r="J15" s="73"/>
      <c r="K15" s="73"/>
      <c r="L15" s="48"/>
      <c r="M15" s="48"/>
      <c r="N15" s="48"/>
      <c r="O15" s="48"/>
      <c r="P15" s="48"/>
      <c r="Q15" s="48"/>
      <c r="R15" s="79"/>
      <c r="S15" s="48"/>
      <c r="T15" s="73"/>
      <c r="U15" s="48"/>
      <c r="V15" s="57"/>
      <c r="W15" s="48"/>
      <c r="X15" s="48"/>
      <c r="Y15" s="48"/>
      <c r="Z15" s="48"/>
      <c r="AA15" s="48"/>
      <c r="AB15" s="79"/>
      <c r="AC15" s="48"/>
      <c r="AD15" s="48"/>
      <c r="AE15" s="48"/>
      <c r="AF15" s="48"/>
      <c r="AG15" s="48"/>
      <c r="AH15" s="14">
        <f>SUM(C15:AG15)</f>
        <v>0</v>
      </c>
      <c r="AI15" s="17"/>
    </row>
    <row r="16" spans="1:35">
      <c r="A16" s="15" t="s">
        <v>15</v>
      </c>
      <c r="B16" s="11"/>
      <c r="C16" s="13"/>
      <c r="D16" s="73"/>
      <c r="E16" s="48"/>
      <c r="F16" s="48"/>
      <c r="G16" s="50"/>
      <c r="H16" s="87"/>
      <c r="I16" s="48"/>
      <c r="J16" s="102"/>
      <c r="K16" s="102"/>
      <c r="L16" s="50"/>
      <c r="M16" s="50"/>
      <c r="N16" s="50"/>
      <c r="O16" s="48"/>
      <c r="P16" s="48"/>
      <c r="Q16" s="73"/>
      <c r="R16" s="79"/>
      <c r="S16" s="48"/>
      <c r="T16" s="73"/>
      <c r="U16" s="48"/>
      <c r="V16" s="57"/>
      <c r="W16" s="48"/>
      <c r="X16" s="50"/>
      <c r="Y16" s="87"/>
      <c r="Z16" s="48"/>
      <c r="AA16" s="48"/>
      <c r="AB16" s="84"/>
      <c r="AC16" s="48"/>
      <c r="AD16" s="48"/>
      <c r="AE16" s="73"/>
      <c r="AF16" s="48"/>
      <c r="AG16" s="48"/>
      <c r="AH16" s="14">
        <f t="shared" si="0"/>
        <v>0</v>
      </c>
      <c r="AI16" s="17"/>
    </row>
    <row r="17" spans="1:37">
      <c r="A17" s="15" t="s">
        <v>16</v>
      </c>
      <c r="B17" s="11"/>
      <c r="C17" s="102"/>
      <c r="D17" s="13"/>
      <c r="E17" s="50"/>
      <c r="F17" s="50"/>
      <c r="G17" s="94"/>
      <c r="H17" s="50"/>
      <c r="I17" s="50"/>
      <c r="J17" s="102"/>
      <c r="K17" s="94"/>
      <c r="L17" s="50"/>
      <c r="M17" s="50"/>
      <c r="N17" s="87"/>
      <c r="O17" s="50"/>
      <c r="P17" s="48"/>
      <c r="Q17" s="94"/>
      <c r="S17" s="13"/>
      <c r="T17" s="73"/>
      <c r="U17" s="41"/>
      <c r="V17" s="94"/>
      <c r="X17" s="73"/>
      <c r="Y17" s="73"/>
      <c r="Z17" s="48"/>
      <c r="AC17" s="48"/>
      <c r="AE17" s="48"/>
      <c r="AF17" s="48"/>
      <c r="AG17" s="48"/>
      <c r="AH17" s="14">
        <f>SUM(H17:AG17)</f>
        <v>0</v>
      </c>
      <c r="AI17" s="17"/>
    </row>
    <row r="18" spans="1:37">
      <c r="A18" s="15" t="s">
        <v>17</v>
      </c>
      <c r="B18" s="11"/>
      <c r="C18" s="13"/>
      <c r="D18" s="73"/>
      <c r="E18" s="48"/>
      <c r="F18" s="48"/>
      <c r="G18" s="50"/>
      <c r="H18" s="48"/>
      <c r="I18" s="48"/>
      <c r="J18" s="73"/>
      <c r="K18" s="73"/>
      <c r="L18" s="50"/>
      <c r="M18" s="50"/>
      <c r="N18" s="50"/>
      <c r="O18" s="48"/>
      <c r="P18" s="48"/>
      <c r="Q18" s="73"/>
      <c r="R18" s="48"/>
      <c r="S18" s="57"/>
      <c r="T18" s="73">
        <v>170289000</v>
      </c>
      <c r="U18" s="48"/>
      <c r="V18" s="48"/>
      <c r="W18" s="48"/>
      <c r="X18" s="48"/>
      <c r="Y18" s="48"/>
      <c r="Z18" s="48"/>
      <c r="AA18" s="48"/>
      <c r="AB18" s="79"/>
      <c r="AC18" s="48"/>
      <c r="AD18" s="86"/>
      <c r="AE18" s="48"/>
      <c r="AF18" s="48"/>
      <c r="AG18" s="48"/>
      <c r="AH18" s="14">
        <f t="shared" si="0"/>
        <v>170289000</v>
      </c>
      <c r="AI18" s="17"/>
    </row>
    <row r="19" spans="1:37">
      <c r="A19" s="15" t="s">
        <v>18</v>
      </c>
      <c r="B19" s="11"/>
      <c r="C19" s="13"/>
      <c r="D19" s="73"/>
      <c r="E19" s="48"/>
      <c r="F19" s="48"/>
      <c r="G19" s="48"/>
      <c r="H19" s="48"/>
      <c r="I19" s="48"/>
      <c r="J19" s="73"/>
      <c r="K19" s="73"/>
      <c r="L19" s="50"/>
      <c r="M19" s="48"/>
      <c r="N19" s="48"/>
      <c r="O19" s="48"/>
      <c r="P19" s="48"/>
      <c r="Q19" s="48"/>
      <c r="R19" s="48"/>
      <c r="S19" s="100"/>
      <c r="T19" s="73"/>
      <c r="U19" s="48"/>
      <c r="V19" s="48"/>
      <c r="W19" s="50"/>
      <c r="X19" s="48"/>
      <c r="Y19" s="48"/>
      <c r="Z19" s="48"/>
      <c r="AA19" s="48"/>
      <c r="AB19" s="79"/>
      <c r="AC19" s="48"/>
      <c r="AD19" s="86"/>
      <c r="AE19" s="48"/>
      <c r="AF19" s="48"/>
      <c r="AG19" s="48"/>
      <c r="AH19" s="14">
        <f t="shared" si="0"/>
        <v>0</v>
      </c>
      <c r="AI19" s="17"/>
    </row>
    <row r="20" spans="1:37" ht="15">
      <c r="A20" s="15" t="s">
        <v>19</v>
      </c>
      <c r="B20" s="11"/>
      <c r="C20" s="13"/>
      <c r="D20" s="73"/>
      <c r="E20" s="48"/>
      <c r="F20" s="50"/>
      <c r="G20" s="50"/>
      <c r="H20" s="48"/>
      <c r="I20" s="51"/>
      <c r="J20" s="102"/>
      <c r="K20" s="94"/>
      <c r="L20" s="50"/>
      <c r="M20" s="50"/>
      <c r="N20" s="50"/>
      <c r="O20" s="50"/>
      <c r="P20" s="48"/>
      <c r="Q20" s="50"/>
      <c r="R20" s="87">
        <v>556000000</v>
      </c>
      <c r="S20" s="95"/>
      <c r="T20" s="73"/>
      <c r="U20" s="48"/>
      <c r="V20" s="48"/>
      <c r="W20" s="48"/>
      <c r="X20" s="73"/>
      <c r="Y20" s="48"/>
      <c r="Z20" s="48"/>
      <c r="AA20" s="48"/>
      <c r="AB20" s="84"/>
      <c r="AC20" s="48"/>
      <c r="AD20" s="86"/>
      <c r="AE20" s="48"/>
      <c r="AF20" s="48"/>
      <c r="AG20" s="48"/>
      <c r="AH20" s="14">
        <f t="shared" si="0"/>
        <v>556000000</v>
      </c>
      <c r="AI20" s="17"/>
    </row>
    <row r="21" spans="1:37">
      <c r="A21" s="15" t="s">
        <v>20</v>
      </c>
      <c r="B21" s="11"/>
      <c r="C21" s="13"/>
      <c r="D21" s="73"/>
      <c r="E21" s="48"/>
      <c r="F21" s="48"/>
      <c r="G21" s="73"/>
      <c r="H21" s="48"/>
      <c r="I21" s="48"/>
      <c r="J21" s="84"/>
      <c r="K21" s="73"/>
      <c r="L21" s="50"/>
      <c r="M21" s="50"/>
      <c r="N21" s="79"/>
      <c r="O21" s="48"/>
      <c r="P21" s="48"/>
      <c r="Q21" s="73">
        <v>16297850</v>
      </c>
      <c r="R21" s="48"/>
      <c r="S21" s="100"/>
      <c r="T21" s="73"/>
      <c r="U21" s="73"/>
      <c r="V21" s="48"/>
      <c r="W21" s="73"/>
      <c r="X21" s="73"/>
      <c r="Y21" s="48"/>
      <c r="Z21" s="48"/>
      <c r="AA21" s="48"/>
      <c r="AB21" s="79"/>
      <c r="AC21" s="48"/>
      <c r="AD21" s="86"/>
      <c r="AE21" s="48"/>
      <c r="AF21" s="48"/>
      <c r="AG21" s="48"/>
      <c r="AH21" s="14">
        <f t="shared" si="0"/>
        <v>16297850</v>
      </c>
      <c r="AI21" s="17"/>
    </row>
    <row r="22" spans="1:37">
      <c r="A22" s="15" t="s">
        <v>43</v>
      </c>
      <c r="B22" s="11"/>
      <c r="C22" s="13">
        <v>125690400</v>
      </c>
      <c r="D22" s="73"/>
      <c r="E22" s="48"/>
      <c r="F22" s="48"/>
      <c r="G22" s="73"/>
      <c r="H22" s="48"/>
      <c r="I22" s="48"/>
      <c r="J22" s="84"/>
      <c r="K22" s="73"/>
      <c r="L22" s="50"/>
      <c r="M22" s="73"/>
      <c r="N22" s="79"/>
      <c r="O22" s="48"/>
      <c r="P22" s="48"/>
      <c r="Q22" s="73"/>
      <c r="R22" s="48"/>
      <c r="S22" s="73"/>
      <c r="T22" s="73"/>
      <c r="U22" s="73"/>
      <c r="V22" s="48"/>
      <c r="W22" s="48"/>
      <c r="X22" s="73"/>
      <c r="Y22" s="48"/>
      <c r="Z22" s="48"/>
      <c r="AA22" s="73"/>
      <c r="AB22" s="84"/>
      <c r="AC22" s="73"/>
      <c r="AD22" s="114"/>
      <c r="AE22" s="73"/>
      <c r="AF22" s="48"/>
      <c r="AG22" s="73"/>
      <c r="AH22" s="14">
        <f t="shared" si="0"/>
        <v>125690400</v>
      </c>
      <c r="AI22" s="17">
        <f>390501249-392501249</f>
        <v>-2000000</v>
      </c>
    </row>
    <row r="23" spans="1:37">
      <c r="A23" s="15" t="s">
        <v>163</v>
      </c>
      <c r="B23" s="11"/>
      <c r="C23" s="13"/>
      <c r="D23" s="73"/>
      <c r="E23" s="73"/>
      <c r="F23" s="48"/>
      <c r="G23" s="73"/>
      <c r="H23" s="48"/>
      <c r="I23" s="48"/>
      <c r="J23" s="84">
        <f>67571403-30015400</f>
        <v>37556003</v>
      </c>
      <c r="K23" s="73">
        <v>144853632</v>
      </c>
      <c r="L23" s="50"/>
      <c r="M23" s="48"/>
      <c r="N23" s="87"/>
      <c r="O23" s="48"/>
      <c r="P23" s="48"/>
      <c r="Q23" s="73"/>
      <c r="R23" s="73"/>
      <c r="S23" s="48"/>
      <c r="T23" s="73"/>
      <c r="U23" s="48"/>
      <c r="V23" s="48"/>
      <c r="W23" s="48"/>
      <c r="X23" s="48"/>
      <c r="Y23" s="73">
        <v>126190189</v>
      </c>
      <c r="Z23" s="48"/>
      <c r="AA23" s="48"/>
      <c r="AB23" s="84"/>
      <c r="AC23" s="48"/>
      <c r="AD23" s="118"/>
      <c r="AE23" s="48"/>
      <c r="AF23" s="87"/>
      <c r="AG23" s="48"/>
      <c r="AH23" s="14">
        <f>SUM(C23:AG23)</f>
        <v>308599824</v>
      </c>
    </row>
    <row r="24" spans="1:37">
      <c r="A24" s="15" t="s">
        <v>164</v>
      </c>
      <c r="B24" s="11"/>
      <c r="C24" s="13"/>
      <c r="D24" s="73"/>
      <c r="E24" s="73"/>
      <c r="F24" s="48"/>
      <c r="G24" s="73"/>
      <c r="H24" s="48"/>
      <c r="I24" s="48"/>
      <c r="J24" s="84">
        <f>141232291-71691109</f>
        <v>69541182</v>
      </c>
      <c r="K24" s="73"/>
      <c r="L24" s="50"/>
      <c r="M24" s="48"/>
      <c r="N24" s="87"/>
      <c r="O24" s="48"/>
      <c r="P24" s="57"/>
      <c r="Q24" s="73"/>
      <c r="R24" s="73"/>
      <c r="S24" s="48"/>
      <c r="T24" s="73"/>
      <c r="U24" s="48"/>
      <c r="V24" s="48"/>
      <c r="W24" s="48"/>
      <c r="X24" s="48"/>
      <c r="Y24" s="48"/>
      <c r="Z24" s="48"/>
      <c r="AA24" s="48"/>
      <c r="AB24" s="84"/>
      <c r="AC24" s="48"/>
      <c r="AD24" s="118"/>
      <c r="AE24" s="48"/>
      <c r="AF24" s="87"/>
      <c r="AG24" s="48"/>
      <c r="AH24" s="14"/>
    </row>
    <row r="25" spans="1:37">
      <c r="A25" s="15" t="s">
        <v>21</v>
      </c>
      <c r="B25" s="11"/>
      <c r="C25" s="13"/>
      <c r="D25" s="73"/>
      <c r="E25" s="48"/>
      <c r="F25" s="48"/>
      <c r="G25" s="48"/>
      <c r="H25" s="48"/>
      <c r="I25" s="48"/>
      <c r="J25" s="73"/>
      <c r="K25" s="73"/>
      <c r="L25" s="50"/>
      <c r="M25" s="48"/>
      <c r="N25" s="48"/>
      <c r="O25" s="48"/>
      <c r="P25" s="57"/>
      <c r="Q25" s="48"/>
      <c r="R25" s="48"/>
      <c r="S25" s="48"/>
      <c r="T25" s="73"/>
      <c r="U25" s="73"/>
      <c r="V25" s="48"/>
      <c r="W25" s="48"/>
      <c r="X25" s="73"/>
      <c r="Y25" s="48"/>
      <c r="Z25" s="48"/>
      <c r="AA25" s="73"/>
      <c r="AB25" s="79"/>
      <c r="AC25" s="48"/>
      <c r="AD25" s="86"/>
      <c r="AE25" s="48"/>
      <c r="AF25" s="48"/>
      <c r="AG25" s="48"/>
      <c r="AH25" s="14">
        <f t="shared" si="0"/>
        <v>0</v>
      </c>
      <c r="AI25" s="17"/>
    </row>
    <row r="26" spans="1:37">
      <c r="A26" s="15" t="s">
        <v>22</v>
      </c>
      <c r="B26" s="11"/>
      <c r="C26" s="13"/>
      <c r="D26" s="73"/>
      <c r="E26" s="79"/>
      <c r="F26" s="48"/>
      <c r="G26" s="48"/>
      <c r="H26" s="48"/>
      <c r="I26" s="48"/>
      <c r="J26" s="73"/>
      <c r="K26" s="73"/>
      <c r="L26" s="50"/>
      <c r="M26" s="48"/>
      <c r="N26" s="48"/>
      <c r="O26" s="48"/>
      <c r="P26" s="48"/>
      <c r="Q26" s="48"/>
      <c r="R26" s="48"/>
      <c r="S26" s="48"/>
      <c r="T26" s="73"/>
      <c r="U26" s="48"/>
      <c r="V26" s="48"/>
      <c r="W26" s="48"/>
      <c r="X26" s="48"/>
      <c r="Y26" s="48"/>
      <c r="Z26" s="48"/>
      <c r="AA26" s="48"/>
      <c r="AB26" s="79"/>
      <c r="AC26" s="48"/>
      <c r="AD26" s="86"/>
      <c r="AE26" s="48"/>
      <c r="AF26" s="48"/>
      <c r="AG26" s="48"/>
      <c r="AH26" s="14">
        <f t="shared" si="0"/>
        <v>0</v>
      </c>
      <c r="AI26" s="17"/>
    </row>
    <row r="27" spans="1:37">
      <c r="A27" s="15" t="s">
        <v>23</v>
      </c>
      <c r="B27" s="119"/>
      <c r="C27" s="13"/>
      <c r="D27" s="73"/>
      <c r="E27" s="79"/>
      <c r="F27" s="50"/>
      <c r="G27" s="73"/>
      <c r="H27" s="48"/>
      <c r="I27" s="48"/>
      <c r="J27" s="73"/>
      <c r="K27" s="73"/>
      <c r="L27" s="50"/>
      <c r="M27" s="48"/>
      <c r="N27" s="48"/>
      <c r="O27" s="41"/>
      <c r="P27" s="41"/>
      <c r="Q27" s="41"/>
      <c r="R27" s="41"/>
      <c r="S27" s="41"/>
      <c r="T27" s="73"/>
      <c r="U27" s="73"/>
      <c r="V27" s="48"/>
      <c r="W27" s="48"/>
      <c r="X27" s="73"/>
      <c r="Y27" s="48"/>
      <c r="Z27" s="50"/>
      <c r="AA27" s="50"/>
      <c r="AB27" s="103"/>
      <c r="AC27" s="48"/>
      <c r="AD27" s="86"/>
      <c r="AE27" s="73"/>
      <c r="AF27" s="48"/>
      <c r="AG27" s="48"/>
      <c r="AH27" s="14">
        <f t="shared" si="0"/>
        <v>0</v>
      </c>
      <c r="AI27" s="17"/>
    </row>
    <row r="28" spans="1:37">
      <c r="A28" s="15" t="s">
        <v>141</v>
      </c>
      <c r="B28" s="119"/>
      <c r="C28" s="78"/>
      <c r="D28" s="78"/>
      <c r="E28" s="88"/>
      <c r="F28" s="41"/>
      <c r="G28" s="41"/>
      <c r="H28" s="41"/>
      <c r="I28" s="41"/>
      <c r="J28" s="78"/>
      <c r="K28" s="78"/>
      <c r="L28" s="50"/>
      <c r="M28" s="50"/>
      <c r="N28" s="41"/>
      <c r="O28" s="65"/>
      <c r="P28" s="48"/>
      <c r="Q28" s="41"/>
      <c r="R28" s="41"/>
      <c r="S28" s="41"/>
      <c r="T28" s="41"/>
      <c r="U28" s="41"/>
      <c r="V28" s="41"/>
      <c r="W28" s="48"/>
      <c r="X28" s="41"/>
      <c r="Y28" s="94">
        <f>85758750-23922657</f>
        <v>61836093</v>
      </c>
      <c r="Z28" s="41"/>
      <c r="AA28" s="50"/>
      <c r="AB28" s="41"/>
      <c r="AC28" s="41"/>
      <c r="AD28" s="41"/>
      <c r="AE28" s="41"/>
      <c r="AF28" s="41"/>
      <c r="AG28" s="73"/>
      <c r="AH28" s="14">
        <f>SUM(E28:AG28)</f>
        <v>61836093</v>
      </c>
      <c r="AI28" s="17"/>
      <c r="AJ28" s="33">
        <v>245437500</v>
      </c>
      <c r="AK28" s="44">
        <v>44137</v>
      </c>
    </row>
    <row r="29" spans="1:37">
      <c r="A29" s="15" t="s">
        <v>142</v>
      </c>
      <c r="B29" s="119"/>
      <c r="C29" s="78"/>
      <c r="D29" s="78"/>
      <c r="E29" s="88"/>
      <c r="F29" s="41"/>
      <c r="G29" s="41"/>
      <c r="H29" s="41"/>
      <c r="I29" s="41"/>
      <c r="J29" s="78"/>
      <c r="K29" s="78"/>
      <c r="L29" s="50"/>
      <c r="M29" s="50"/>
      <c r="N29" s="41"/>
      <c r="O29" s="65"/>
      <c r="P29" s="48"/>
      <c r="Q29" s="41"/>
      <c r="R29" s="41"/>
      <c r="S29" s="41"/>
      <c r="T29" s="41"/>
      <c r="U29" s="41"/>
      <c r="V29" s="41"/>
      <c r="W29" s="48"/>
      <c r="X29" s="41"/>
      <c r="Y29" s="94">
        <f>5717250+22846131</f>
        <v>28563381</v>
      </c>
      <c r="Z29" s="41"/>
      <c r="AA29" s="50"/>
      <c r="AB29" s="41"/>
      <c r="AC29" s="41"/>
      <c r="AD29" s="41"/>
      <c r="AE29" s="41"/>
      <c r="AF29" s="86"/>
      <c r="AG29" s="41"/>
      <c r="AH29" s="14"/>
      <c r="AI29" s="17"/>
      <c r="AJ29" s="82"/>
      <c r="AK29" s="44"/>
    </row>
    <row r="30" spans="1:37">
      <c r="A30" s="15" t="s">
        <v>143</v>
      </c>
      <c r="B30" s="119"/>
      <c r="C30" s="78"/>
      <c r="D30" s="78"/>
      <c r="E30" s="88"/>
      <c r="F30" s="41"/>
      <c r="G30" s="41"/>
      <c r="H30" s="41"/>
      <c r="I30" s="41"/>
      <c r="J30" s="78"/>
      <c r="K30" s="78"/>
      <c r="L30" s="50"/>
      <c r="M30" s="50"/>
      <c r="N30" s="41"/>
      <c r="O30" s="65"/>
      <c r="P30" s="48"/>
      <c r="Q30" s="41"/>
      <c r="R30" s="41"/>
      <c r="S30" s="41"/>
      <c r="T30" s="41"/>
      <c r="U30" s="41"/>
      <c r="V30" s="41"/>
      <c r="W30" s="48"/>
      <c r="X30" s="41"/>
      <c r="Y30" s="41"/>
      <c r="Z30" s="41"/>
      <c r="AA30" s="41"/>
      <c r="AB30" s="41"/>
      <c r="AC30" s="41"/>
      <c r="AD30" s="41"/>
      <c r="AE30" s="86"/>
      <c r="AF30" s="86"/>
      <c r="AG30" s="41"/>
      <c r="AH30" s="14"/>
      <c r="AI30" s="17"/>
      <c r="AJ30" s="82"/>
      <c r="AK30" s="44"/>
    </row>
    <row r="31" spans="1:37">
      <c r="A31" s="15" t="s">
        <v>144</v>
      </c>
      <c r="B31" s="119"/>
      <c r="C31" s="78"/>
      <c r="D31" s="78"/>
      <c r="E31" s="88"/>
      <c r="F31" s="86"/>
      <c r="G31" s="41"/>
      <c r="H31" s="41"/>
      <c r="I31" s="41"/>
      <c r="J31" s="78"/>
      <c r="K31" s="78"/>
      <c r="L31" s="50"/>
      <c r="M31" s="50"/>
      <c r="N31" s="41"/>
      <c r="O31" s="65"/>
      <c r="P31" s="48"/>
      <c r="Q31" s="41"/>
      <c r="R31" s="41"/>
      <c r="S31" s="41"/>
      <c r="T31" s="41"/>
      <c r="U31" s="41"/>
      <c r="V31" s="41"/>
      <c r="W31" s="48"/>
      <c r="X31" s="41"/>
      <c r="Y31" s="41"/>
      <c r="Z31" s="41"/>
      <c r="AA31" s="41"/>
      <c r="AB31" s="41"/>
      <c r="AC31" s="41"/>
      <c r="AD31" s="41"/>
      <c r="AE31" s="90"/>
      <c r="AF31" s="86"/>
      <c r="AG31" s="41"/>
      <c r="AH31" s="14"/>
      <c r="AI31" s="17"/>
      <c r="AJ31" s="82"/>
      <c r="AK31" s="44"/>
    </row>
    <row r="32" spans="1:37">
      <c r="A32" s="15" t="s">
        <v>145</v>
      </c>
      <c r="B32" s="119"/>
      <c r="C32" s="78"/>
      <c r="D32" s="78"/>
      <c r="E32" s="88"/>
      <c r="F32" s="86"/>
      <c r="G32" s="41"/>
      <c r="H32" s="41"/>
      <c r="I32" s="41"/>
      <c r="J32" s="78"/>
      <c r="K32" s="78"/>
      <c r="L32" s="50"/>
      <c r="M32" s="50"/>
      <c r="N32" s="41"/>
      <c r="O32" s="65"/>
      <c r="P32" s="48"/>
      <c r="Q32" s="41"/>
      <c r="R32" s="41"/>
      <c r="S32" s="41"/>
      <c r="T32" s="41"/>
      <c r="U32" s="41"/>
      <c r="V32" s="41"/>
      <c r="W32" s="48"/>
      <c r="X32" s="41"/>
      <c r="Y32" s="41"/>
      <c r="Z32" s="41"/>
      <c r="AA32" s="41"/>
      <c r="AB32" s="41"/>
      <c r="AC32" s="41"/>
      <c r="AD32" s="41"/>
      <c r="AE32" s="90"/>
      <c r="AF32" s="86"/>
      <c r="AG32" s="41"/>
      <c r="AH32" s="14"/>
      <c r="AI32" s="17"/>
      <c r="AJ32" s="82"/>
      <c r="AK32" s="44"/>
    </row>
    <row r="33" spans="1:37">
      <c r="A33" s="15" t="s">
        <v>146</v>
      </c>
      <c r="B33" s="119"/>
      <c r="C33" s="78"/>
      <c r="D33" s="78"/>
      <c r="E33" s="88"/>
      <c r="F33" s="86"/>
      <c r="G33" s="41"/>
      <c r="H33" s="41"/>
      <c r="I33" s="41"/>
      <c r="J33" s="65"/>
      <c r="K33" s="78"/>
      <c r="L33" s="50"/>
      <c r="M33" s="50"/>
      <c r="N33" s="41"/>
      <c r="O33" s="65"/>
      <c r="P33" s="48"/>
      <c r="Q33" s="41"/>
      <c r="R33" s="41"/>
      <c r="S33" s="41"/>
      <c r="T33" s="41"/>
      <c r="U33" s="41"/>
      <c r="V33" s="41"/>
      <c r="W33" s="48"/>
      <c r="X33" s="41"/>
      <c r="Y33" s="41"/>
      <c r="Z33" s="41"/>
      <c r="AA33" s="41"/>
      <c r="AB33" s="41"/>
      <c r="AC33" s="41"/>
      <c r="AD33" s="41"/>
      <c r="AE33" s="90"/>
      <c r="AF33" s="86"/>
      <c r="AG33" s="41"/>
      <c r="AH33" s="14"/>
      <c r="AI33" s="17"/>
      <c r="AJ33" s="82"/>
      <c r="AK33" s="44"/>
    </row>
    <row r="34" spans="1:37">
      <c r="A34" s="15" t="s">
        <v>147</v>
      </c>
      <c r="B34" s="119"/>
      <c r="C34" s="78"/>
      <c r="D34" s="78"/>
      <c r="E34" s="88"/>
      <c r="F34" s="86"/>
      <c r="G34" s="41"/>
      <c r="H34" s="41"/>
      <c r="I34" s="41"/>
      <c r="J34" s="65"/>
      <c r="K34" s="78"/>
      <c r="L34" s="50"/>
      <c r="M34" s="50"/>
      <c r="N34" s="41"/>
      <c r="O34" s="65"/>
      <c r="P34" s="48"/>
      <c r="Q34" s="41"/>
      <c r="R34" s="41"/>
      <c r="S34" s="41"/>
      <c r="T34" s="41"/>
      <c r="U34" s="41"/>
      <c r="V34" s="41"/>
      <c r="W34" s="48"/>
      <c r="X34" s="41"/>
      <c r="Y34" s="41"/>
      <c r="Z34" s="41"/>
      <c r="AA34" s="41"/>
      <c r="AB34" s="41"/>
      <c r="AC34" s="41"/>
      <c r="AD34" s="41"/>
      <c r="AE34" s="90"/>
      <c r="AF34" s="86"/>
      <c r="AG34" s="41"/>
      <c r="AH34" s="14"/>
      <c r="AI34" s="17"/>
      <c r="AJ34" s="82"/>
      <c r="AK34" s="44"/>
    </row>
    <row r="35" spans="1:37">
      <c r="A35" s="15" t="s">
        <v>148</v>
      </c>
      <c r="B35" s="119"/>
      <c r="C35" s="78"/>
      <c r="D35" s="78"/>
      <c r="E35" s="88"/>
      <c r="F35" s="86"/>
      <c r="G35" s="41"/>
      <c r="H35" s="41"/>
      <c r="I35" s="41"/>
      <c r="J35" s="65"/>
      <c r="K35" s="78"/>
      <c r="L35" s="50"/>
      <c r="M35" s="50"/>
      <c r="N35" s="41"/>
      <c r="O35" s="65"/>
      <c r="P35" s="48"/>
      <c r="Q35" s="41"/>
      <c r="R35" s="41"/>
      <c r="S35" s="41"/>
      <c r="T35" s="41"/>
      <c r="U35" s="41"/>
      <c r="V35" s="41"/>
      <c r="W35" s="48"/>
      <c r="X35" s="41"/>
      <c r="Y35" s="41"/>
      <c r="Z35" s="41"/>
      <c r="AA35" s="41"/>
      <c r="AB35" s="41"/>
      <c r="AC35" s="41"/>
      <c r="AD35" s="41"/>
      <c r="AE35" s="90"/>
      <c r="AF35" s="86"/>
      <c r="AG35" s="41"/>
      <c r="AH35" s="14"/>
      <c r="AI35" s="17"/>
      <c r="AJ35" s="82"/>
      <c r="AK35" s="44"/>
    </row>
    <row r="36" spans="1:37">
      <c r="A36" s="15" t="s">
        <v>149</v>
      </c>
      <c r="B36" s="119"/>
      <c r="C36" s="78"/>
      <c r="D36" s="78"/>
      <c r="E36" s="88"/>
      <c r="F36" s="86"/>
      <c r="G36" s="41"/>
      <c r="H36" s="41"/>
      <c r="I36" s="41"/>
      <c r="J36" s="65"/>
      <c r="K36" s="78"/>
      <c r="L36" s="50"/>
      <c r="M36" s="50"/>
      <c r="N36" s="41"/>
      <c r="O36" s="65"/>
      <c r="P36" s="48"/>
      <c r="Q36" s="41"/>
      <c r="R36" s="41"/>
      <c r="S36" s="41"/>
      <c r="T36" s="41"/>
      <c r="U36" s="41"/>
      <c r="V36" s="41"/>
      <c r="W36" s="48"/>
      <c r="X36" s="41"/>
      <c r="Y36" s="41"/>
      <c r="Z36" s="41"/>
      <c r="AA36" s="41"/>
      <c r="AB36" s="41"/>
      <c r="AC36" s="41"/>
      <c r="AD36" s="41"/>
      <c r="AE36" s="90"/>
      <c r="AF36" s="86"/>
      <c r="AG36" s="41"/>
      <c r="AH36" s="14"/>
      <c r="AI36" s="17"/>
      <c r="AJ36" s="82"/>
      <c r="AK36" s="44"/>
    </row>
    <row r="37" spans="1:37">
      <c r="A37" s="15" t="s">
        <v>150</v>
      </c>
      <c r="B37" s="119"/>
      <c r="C37" s="78"/>
      <c r="D37" s="78"/>
      <c r="E37" s="88"/>
      <c r="F37" s="86"/>
      <c r="G37" s="41"/>
      <c r="H37" s="41"/>
      <c r="I37" s="41"/>
      <c r="J37" s="65"/>
      <c r="K37" s="78"/>
      <c r="L37" s="50"/>
      <c r="M37" s="50"/>
      <c r="N37" s="41"/>
      <c r="O37" s="65"/>
      <c r="P37" s="48"/>
      <c r="Q37" s="41"/>
      <c r="R37" s="41"/>
      <c r="S37" s="41"/>
      <c r="T37" s="41"/>
      <c r="U37" s="41"/>
      <c r="V37" s="41"/>
      <c r="W37" s="48"/>
      <c r="X37" s="41"/>
      <c r="Y37" s="41"/>
      <c r="Z37" s="41"/>
      <c r="AA37" s="41"/>
      <c r="AB37" s="41"/>
      <c r="AC37" s="41"/>
      <c r="AD37" s="41"/>
      <c r="AE37" s="90"/>
      <c r="AF37" s="86"/>
      <c r="AG37" s="41"/>
      <c r="AH37" s="14"/>
      <c r="AI37" s="17"/>
      <c r="AJ37" s="82"/>
      <c r="AK37" s="44"/>
    </row>
    <row r="38" spans="1:37">
      <c r="A38" s="15" t="s">
        <v>151</v>
      </c>
      <c r="B38" s="119"/>
      <c r="C38" s="78"/>
      <c r="D38" s="78"/>
      <c r="E38" s="88"/>
      <c r="F38" s="86"/>
      <c r="G38" s="41"/>
      <c r="H38" s="41"/>
      <c r="I38" s="41"/>
      <c r="J38" s="65"/>
      <c r="K38" s="78"/>
      <c r="L38" s="50"/>
      <c r="M38" s="50"/>
      <c r="N38" s="41"/>
      <c r="O38" s="65"/>
      <c r="P38" s="48"/>
      <c r="Q38" s="41"/>
      <c r="R38" s="41"/>
      <c r="S38" s="41"/>
      <c r="T38" s="41"/>
      <c r="U38" s="41"/>
      <c r="V38" s="41"/>
      <c r="W38" s="48"/>
      <c r="X38" s="41"/>
      <c r="Y38" s="41"/>
      <c r="Z38" s="41"/>
      <c r="AA38" s="41"/>
      <c r="AB38" s="41"/>
      <c r="AC38" s="41"/>
      <c r="AD38" s="41"/>
      <c r="AE38" s="90"/>
      <c r="AF38" s="86"/>
      <c r="AG38" s="41"/>
      <c r="AH38" s="14"/>
      <c r="AI38" s="17"/>
      <c r="AJ38" s="82"/>
      <c r="AK38" s="44"/>
    </row>
    <row r="39" spans="1:37">
      <c r="A39" s="15" t="s">
        <v>24</v>
      </c>
      <c r="B39" s="119"/>
      <c r="C39" s="78"/>
      <c r="D39" s="78"/>
      <c r="E39" s="88"/>
      <c r="F39" s="48"/>
      <c r="G39" s="50"/>
      <c r="H39" s="73"/>
      <c r="I39" s="48"/>
      <c r="J39" s="78"/>
      <c r="K39" s="78"/>
      <c r="L39" s="50"/>
      <c r="M39" s="50"/>
      <c r="N39" s="41"/>
      <c r="O39" s="102"/>
      <c r="P39" s="48"/>
      <c r="Q39" s="41"/>
      <c r="R39" s="50"/>
      <c r="S39" s="41"/>
      <c r="T39" s="50"/>
      <c r="U39" s="50"/>
      <c r="V39" s="41"/>
      <c r="W39" s="50"/>
      <c r="X39" s="41"/>
      <c r="Y39" s="41"/>
      <c r="Z39" s="41"/>
      <c r="AA39" s="50"/>
      <c r="AB39" s="41"/>
      <c r="AC39" s="41"/>
      <c r="AD39" s="41"/>
      <c r="AE39" s="41"/>
      <c r="AF39" s="86"/>
      <c r="AG39" s="41"/>
      <c r="AH39" s="14">
        <f>SUM(E39:AF39)</f>
        <v>0</v>
      </c>
      <c r="AI39" s="17"/>
    </row>
    <row r="40" spans="1:37">
      <c r="A40" s="15" t="s">
        <v>152</v>
      </c>
      <c r="B40" s="119"/>
      <c r="C40" s="78"/>
      <c r="D40" s="78"/>
      <c r="E40" s="88"/>
      <c r="F40" s="41"/>
      <c r="G40" s="41"/>
      <c r="H40" s="41"/>
      <c r="I40" s="41"/>
      <c r="J40" s="78"/>
      <c r="K40" s="78"/>
      <c r="L40" s="50"/>
      <c r="M40" s="50"/>
      <c r="N40" s="41"/>
      <c r="O40" s="41"/>
      <c r="P40" s="41"/>
      <c r="Q40" s="41"/>
      <c r="R40" s="41"/>
      <c r="S40" s="41"/>
      <c r="T40" s="120">
        <f>109540310+46939858+66089548</f>
        <v>222569716</v>
      </c>
      <c r="U40" s="41"/>
      <c r="V40" s="41"/>
      <c r="W40" s="41"/>
      <c r="X40" s="41"/>
      <c r="Y40" s="41"/>
      <c r="Z40" s="41"/>
      <c r="AA40" s="50"/>
      <c r="AB40" s="41"/>
      <c r="AC40" s="41"/>
      <c r="AD40" s="41"/>
      <c r="AE40" s="41"/>
      <c r="AF40" s="48"/>
      <c r="AG40" s="41"/>
      <c r="AH40" s="14">
        <f>SUM(L40:AF40)</f>
        <v>222569716</v>
      </c>
      <c r="AI40" s="17"/>
      <c r="AJ40" s="48">
        <v>127684117</v>
      </c>
    </row>
    <row r="41" spans="1:37">
      <c r="A41" s="15" t="s">
        <v>153</v>
      </c>
      <c r="B41" s="119"/>
      <c r="C41" s="78"/>
      <c r="D41" s="78"/>
      <c r="E41" s="88"/>
      <c r="F41" s="41"/>
      <c r="G41" s="41"/>
      <c r="H41" s="41"/>
      <c r="I41" s="41"/>
      <c r="J41" s="78"/>
      <c r="K41" s="78"/>
      <c r="L41" s="50"/>
      <c r="M41" s="50"/>
      <c r="N41" s="41"/>
      <c r="O41" s="41"/>
      <c r="P41" s="41"/>
      <c r="Q41" s="41"/>
      <c r="R41" s="41"/>
      <c r="S41" s="41"/>
      <c r="T41" s="41"/>
      <c r="U41" s="120">
        <v>1615443562</v>
      </c>
      <c r="V41" s="41"/>
      <c r="W41" s="41"/>
      <c r="X41" s="41"/>
      <c r="Y41" s="41"/>
      <c r="Z41" s="41"/>
      <c r="AA41" s="50"/>
      <c r="AB41" s="41"/>
      <c r="AC41" s="41"/>
      <c r="AD41" s="41"/>
      <c r="AE41" s="41"/>
      <c r="AF41" s="16"/>
      <c r="AG41" s="41"/>
      <c r="AH41" s="14"/>
      <c r="AI41" s="17"/>
      <c r="AJ41" s="106"/>
    </row>
    <row r="42" spans="1:37">
      <c r="A42" s="15" t="s">
        <v>154</v>
      </c>
      <c r="B42" s="119"/>
      <c r="C42" s="78"/>
      <c r="D42" s="78"/>
      <c r="E42" s="88"/>
      <c r="F42" s="41"/>
      <c r="G42" s="41"/>
      <c r="H42" s="41"/>
      <c r="I42" s="41"/>
      <c r="J42" s="78"/>
      <c r="K42" s="78"/>
      <c r="L42" s="50"/>
      <c r="M42" s="50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112"/>
      <c r="AF42" s="16"/>
      <c r="AG42" s="41"/>
      <c r="AH42" s="14"/>
      <c r="AI42" s="17"/>
      <c r="AJ42" s="106"/>
    </row>
    <row r="43" spans="1:37">
      <c r="A43" s="15" t="s">
        <v>162</v>
      </c>
      <c r="B43" s="119"/>
      <c r="C43" s="78"/>
      <c r="D43" s="78"/>
      <c r="E43" s="88"/>
      <c r="F43" s="41"/>
      <c r="G43" s="41"/>
      <c r="H43" s="41"/>
      <c r="I43" s="41"/>
      <c r="J43" s="78"/>
      <c r="K43" s="78"/>
      <c r="L43" s="50"/>
      <c r="M43" s="50"/>
      <c r="N43" s="41"/>
      <c r="O43" s="41"/>
      <c r="P43" s="41"/>
      <c r="Q43" s="41"/>
      <c r="R43" s="41"/>
      <c r="S43" s="73">
        <v>129213582</v>
      </c>
      <c r="T43" s="41"/>
      <c r="U43" s="41"/>
      <c r="V43" s="41"/>
      <c r="W43" s="41"/>
      <c r="X43" s="41"/>
      <c r="Y43" s="41"/>
      <c r="Z43" s="41"/>
      <c r="AA43" s="50"/>
      <c r="AB43" s="41"/>
      <c r="AC43" s="41"/>
      <c r="AD43" s="41"/>
      <c r="AE43" s="41"/>
      <c r="AF43" s="48"/>
      <c r="AG43" s="41"/>
      <c r="AH43" s="14"/>
      <c r="AI43" s="17"/>
    </row>
    <row r="44" spans="1:37">
      <c r="A44" s="15" t="s">
        <v>155</v>
      </c>
      <c r="B44" s="119"/>
      <c r="C44" s="78"/>
      <c r="D44" s="78"/>
      <c r="E44" s="88"/>
      <c r="F44" s="73">
        <v>155992615</v>
      </c>
      <c r="G44" s="41"/>
      <c r="H44" s="41"/>
      <c r="I44" s="41"/>
      <c r="J44" s="78"/>
      <c r="K44" s="78"/>
      <c r="L44" s="50"/>
      <c r="M44" s="50"/>
      <c r="N44" s="41"/>
      <c r="O44" s="41"/>
      <c r="P44" s="41"/>
      <c r="Q44" s="41"/>
      <c r="R44" s="41"/>
      <c r="S44" s="41"/>
      <c r="T44" s="121">
        <v>143511259</v>
      </c>
      <c r="U44" s="41"/>
      <c r="V44" s="41"/>
      <c r="W44" s="41"/>
      <c r="X44" s="41"/>
      <c r="Y44" s="41"/>
      <c r="Z44" s="41"/>
      <c r="AA44" s="50"/>
      <c r="AB44" s="41"/>
      <c r="AC44" s="41"/>
      <c r="AD44" s="41"/>
      <c r="AE44" s="41"/>
      <c r="AF44" s="16"/>
      <c r="AG44" s="41"/>
      <c r="AH44" s="14">
        <f>SUM(E44:AF44)</f>
        <v>299503874</v>
      </c>
      <c r="AI44" s="17"/>
    </row>
    <row r="45" spans="1:37">
      <c r="A45" s="15" t="s">
        <v>156</v>
      </c>
      <c r="B45" s="119"/>
      <c r="C45" s="78"/>
      <c r="D45" s="78"/>
      <c r="E45" s="88"/>
      <c r="F45" s="41"/>
      <c r="G45" s="41"/>
      <c r="H45" s="41"/>
      <c r="I45" s="41"/>
      <c r="J45" s="78"/>
      <c r="K45" s="78"/>
      <c r="L45" s="50"/>
      <c r="M45" s="50"/>
      <c r="N45" s="41"/>
      <c r="O45" s="41"/>
      <c r="P45" s="41"/>
      <c r="Q45" s="41"/>
      <c r="R45" s="41"/>
      <c r="S45" s="41"/>
      <c r="T45" s="121">
        <v>264176844</v>
      </c>
      <c r="U45" s="41"/>
      <c r="V45" s="41"/>
      <c r="W45" s="41"/>
      <c r="X45" s="41"/>
      <c r="Y45" s="41"/>
      <c r="Z45" s="41"/>
      <c r="AA45" s="50"/>
      <c r="AB45" s="41"/>
      <c r="AC45" s="41"/>
      <c r="AD45" s="41"/>
      <c r="AE45" s="41"/>
      <c r="AF45" s="48"/>
      <c r="AG45" s="41"/>
      <c r="AH45" s="14"/>
      <c r="AI45" s="17"/>
    </row>
    <row r="46" spans="1:37">
      <c r="A46" s="15" t="s">
        <v>157</v>
      </c>
      <c r="B46" s="119"/>
      <c r="C46" s="78"/>
      <c r="D46" s="78"/>
      <c r="E46" s="88"/>
      <c r="F46" s="41"/>
      <c r="G46" s="41"/>
      <c r="H46" s="41"/>
      <c r="I46" s="41"/>
      <c r="J46" s="78"/>
      <c r="K46" s="78"/>
      <c r="L46" s="50"/>
      <c r="M46" s="50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73">
        <v>328505905</v>
      </c>
      <c r="Y46" s="41"/>
      <c r="Z46" s="41"/>
      <c r="AA46" s="50"/>
      <c r="AB46" s="41"/>
      <c r="AC46" s="41"/>
      <c r="AD46" s="41"/>
      <c r="AE46" s="41"/>
      <c r="AF46" s="48"/>
      <c r="AG46" s="41"/>
      <c r="AH46" s="14"/>
      <c r="AI46" s="17"/>
    </row>
    <row r="47" spans="1:37">
      <c r="A47" s="15" t="s">
        <v>158</v>
      </c>
      <c r="B47" s="119"/>
      <c r="C47" s="78"/>
      <c r="D47" s="78"/>
      <c r="E47" s="88"/>
      <c r="F47" s="41"/>
      <c r="G47" s="41"/>
      <c r="H47" s="48"/>
      <c r="I47" s="41"/>
      <c r="J47" s="78"/>
      <c r="K47" s="78"/>
      <c r="L47" s="48"/>
      <c r="M47" s="48"/>
      <c r="N47" s="73"/>
      <c r="O47" s="48"/>
      <c r="P47" s="48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8"/>
      <c r="AF47" s="48"/>
      <c r="AG47" s="41"/>
      <c r="AH47" s="14"/>
      <c r="AI47" s="17"/>
    </row>
    <row r="48" spans="1:37">
      <c r="A48" s="15" t="s">
        <v>159</v>
      </c>
      <c r="B48" s="119"/>
      <c r="C48" s="78"/>
      <c r="D48" s="78"/>
      <c r="E48" s="88"/>
      <c r="F48" s="41"/>
      <c r="G48" s="41"/>
      <c r="H48" s="48"/>
      <c r="I48" s="41"/>
      <c r="J48" s="78"/>
      <c r="K48" s="78"/>
      <c r="L48" s="48"/>
      <c r="M48" s="48"/>
      <c r="N48" s="73"/>
      <c r="O48" s="48"/>
      <c r="P48" s="48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8"/>
      <c r="AF48" s="48"/>
      <c r="AG48" s="41"/>
      <c r="AH48" s="14"/>
      <c r="AI48" s="17"/>
    </row>
    <row r="49" spans="1:35">
      <c r="A49" s="15" t="s">
        <v>160</v>
      </c>
      <c r="B49" s="119"/>
      <c r="C49" s="78"/>
      <c r="D49" s="78"/>
      <c r="E49" s="88"/>
      <c r="F49" s="41"/>
      <c r="G49" s="41"/>
      <c r="H49" s="48"/>
      <c r="I49" s="41"/>
      <c r="J49" s="78"/>
      <c r="K49" s="78"/>
      <c r="L49" s="48"/>
      <c r="M49" s="48"/>
      <c r="N49" s="73"/>
      <c r="O49" s="48"/>
      <c r="P49" s="48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8"/>
      <c r="AF49" s="48"/>
      <c r="AG49" s="41"/>
      <c r="AH49" s="14"/>
      <c r="AI49" s="17"/>
    </row>
    <row r="50" spans="1:35">
      <c r="A50" s="15" t="s">
        <v>161</v>
      </c>
      <c r="B50" s="119"/>
      <c r="C50" s="78"/>
      <c r="D50" s="78"/>
      <c r="E50" s="88"/>
      <c r="F50" s="41"/>
      <c r="G50" s="41"/>
      <c r="H50" s="48"/>
      <c r="I50" s="41"/>
      <c r="J50" s="78"/>
      <c r="K50" s="78"/>
      <c r="L50" s="48"/>
      <c r="M50" s="48"/>
      <c r="N50" s="73"/>
      <c r="O50" s="48"/>
      <c r="P50" s="48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8"/>
      <c r="AF50" s="48"/>
      <c r="AG50" s="41"/>
      <c r="AH50" s="14"/>
      <c r="AI50" s="17"/>
    </row>
    <row r="51" spans="1:35">
      <c r="A51" s="15" t="s">
        <v>118</v>
      </c>
      <c r="B51" s="119"/>
      <c r="C51" s="13">
        <f>96455520+32043060</f>
        <v>128498580</v>
      </c>
      <c r="D51" s="78"/>
      <c r="E51" s="84">
        <v>64260756</v>
      </c>
      <c r="F51" s="42">
        <v>96568416</v>
      </c>
      <c r="G51" s="73">
        <v>24161508</v>
      </c>
      <c r="H51" s="48"/>
      <c r="I51" s="48"/>
      <c r="J51" s="73"/>
      <c r="K51" s="73">
        <v>68417622</v>
      </c>
      <c r="L51" s="48"/>
      <c r="M51" s="48"/>
      <c r="N51" s="48"/>
      <c r="O51" s="73"/>
      <c r="P51" s="73"/>
      <c r="Q51" s="48"/>
      <c r="R51" s="41"/>
      <c r="S51" s="48"/>
      <c r="T51" s="73">
        <v>64253700</v>
      </c>
      <c r="U51" s="41"/>
      <c r="V51" s="48"/>
      <c r="W51" s="48"/>
      <c r="X51" s="73">
        <v>160739208</v>
      </c>
      <c r="Y51" s="41"/>
      <c r="Z51" s="48"/>
      <c r="AA51" s="41"/>
      <c r="AB51" s="73"/>
      <c r="AC51" s="48"/>
      <c r="AD51" s="73"/>
      <c r="AE51" s="41"/>
      <c r="AF51" s="48"/>
      <c r="AG51" s="41"/>
      <c r="AH51" s="14"/>
      <c r="AI51" s="17"/>
    </row>
    <row r="52" spans="1:35" ht="15">
      <c r="A52" s="15" t="s">
        <v>27</v>
      </c>
      <c r="B52" s="119"/>
      <c r="C52" s="13"/>
      <c r="D52" s="78"/>
      <c r="E52" s="89"/>
      <c r="F52" s="48"/>
      <c r="G52" s="48"/>
      <c r="H52" s="51"/>
      <c r="I52" s="51"/>
      <c r="J52" s="73"/>
      <c r="K52" s="73"/>
      <c r="L52" s="48"/>
      <c r="M52" s="48"/>
      <c r="N52" s="48"/>
      <c r="O52" s="48"/>
      <c r="P52" s="48"/>
      <c r="Q52" s="73"/>
      <c r="R52" s="73">
        <v>82125000</v>
      </c>
      <c r="S52" s="48"/>
      <c r="T52" s="48"/>
      <c r="U52" s="41"/>
      <c r="V52" s="48"/>
      <c r="W52" s="48"/>
      <c r="X52" s="73">
        <v>39420000</v>
      </c>
      <c r="Y52" s="41"/>
      <c r="Z52" s="48"/>
      <c r="AA52" s="48"/>
      <c r="AB52" s="73"/>
      <c r="AC52" s="48"/>
      <c r="AD52" s="48"/>
      <c r="AE52" s="41"/>
      <c r="AF52" s="48"/>
      <c r="AG52" s="48"/>
      <c r="AH52" s="14">
        <f>SUM(C52:AG52)</f>
        <v>121545000</v>
      </c>
      <c r="AI52" s="17"/>
    </row>
    <row r="53" spans="1:35">
      <c r="A53" s="15" t="s">
        <v>165</v>
      </c>
      <c r="B53" s="119"/>
      <c r="C53" s="78"/>
      <c r="D53" s="78"/>
      <c r="E53" s="89">
        <v>342717500</v>
      </c>
      <c r="F53" s="41"/>
      <c r="G53" s="13">
        <v>14925000</v>
      </c>
      <c r="H53" s="41"/>
      <c r="I53" s="13"/>
      <c r="J53" s="78"/>
      <c r="L53" s="48"/>
      <c r="M53" s="73"/>
      <c r="N53" s="73"/>
      <c r="O53" s="48"/>
      <c r="P53" s="48"/>
      <c r="Q53" s="41"/>
      <c r="R53" s="41"/>
      <c r="S53" s="41"/>
      <c r="T53" s="41"/>
      <c r="U53" s="41"/>
      <c r="V53" s="48"/>
      <c r="W53" s="48"/>
      <c r="X53" s="41"/>
      <c r="Y53" s="41"/>
      <c r="Z53" s="48"/>
      <c r="AA53" s="41"/>
      <c r="AB53" s="41"/>
      <c r="AC53" s="48"/>
      <c r="AD53" s="48"/>
      <c r="AE53" s="16"/>
      <c r="AF53" s="48"/>
      <c r="AG53" s="48"/>
      <c r="AH53" s="14"/>
      <c r="AI53" s="17"/>
    </row>
    <row r="54" spans="1:35">
      <c r="A54" s="15" t="s">
        <v>166</v>
      </c>
      <c r="B54" s="119"/>
      <c r="C54" s="78"/>
      <c r="D54" s="78"/>
      <c r="E54" s="89"/>
      <c r="F54" s="41"/>
      <c r="G54" s="13"/>
      <c r="H54" s="41"/>
      <c r="I54" s="13"/>
      <c r="J54" s="85"/>
      <c r="L54" s="48"/>
      <c r="M54" s="73"/>
      <c r="N54" s="73"/>
      <c r="O54" s="48"/>
      <c r="P54" s="48"/>
      <c r="Q54" s="41"/>
      <c r="R54" s="41"/>
      <c r="S54" s="41"/>
      <c r="T54" s="41"/>
      <c r="U54" s="41"/>
      <c r="V54" s="48"/>
      <c r="W54" s="48"/>
      <c r="X54" s="13">
        <v>88062000</v>
      </c>
      <c r="Y54" s="48"/>
      <c r="Z54" s="48"/>
      <c r="AA54" s="41"/>
      <c r="AB54" s="41"/>
      <c r="AC54" s="48"/>
      <c r="AD54" s="48"/>
      <c r="AE54" s="48"/>
      <c r="AF54" s="48"/>
      <c r="AG54" s="48"/>
      <c r="AH54" s="14"/>
      <c r="AI54" s="17"/>
    </row>
    <row r="55" spans="1:35">
      <c r="A55" s="15" t="s">
        <v>170</v>
      </c>
      <c r="B55" s="119"/>
      <c r="C55" s="78"/>
      <c r="D55" s="78"/>
      <c r="E55" s="89"/>
      <c r="F55" s="41"/>
      <c r="G55" s="13"/>
      <c r="H55" s="41"/>
      <c r="I55" s="13"/>
      <c r="J55" s="85"/>
      <c r="L55" s="48"/>
      <c r="M55" s="73"/>
      <c r="N55" s="73"/>
      <c r="O55" s="48"/>
      <c r="P55" s="48"/>
      <c r="Q55" s="41"/>
      <c r="R55" s="41"/>
      <c r="S55" s="41"/>
      <c r="T55" s="41"/>
      <c r="U55" s="41"/>
      <c r="V55" s="48"/>
      <c r="W55" s="48"/>
      <c r="X55" s="13"/>
      <c r="Y55" s="48"/>
      <c r="Z55" s="48"/>
      <c r="AA55" s="41"/>
      <c r="AB55" s="41"/>
      <c r="AC55" s="48"/>
      <c r="AD55" s="48"/>
      <c r="AE55" s="48"/>
      <c r="AF55" s="48"/>
      <c r="AG55" s="48"/>
      <c r="AH55" s="14"/>
      <c r="AI55" s="17"/>
    </row>
    <row r="56" spans="1:35" ht="15">
      <c r="A56" s="15" t="s">
        <v>114</v>
      </c>
      <c r="B56" s="119"/>
      <c r="C56" s="13"/>
      <c r="D56" s="13"/>
      <c r="E56" s="79"/>
      <c r="F56" s="48"/>
      <c r="G56" s="48"/>
      <c r="H56" s="51"/>
      <c r="I56" s="51"/>
      <c r="J56" s="84"/>
      <c r="K56" s="73"/>
      <c r="L56" s="48"/>
      <c r="M56" s="73"/>
      <c r="N56" s="73"/>
      <c r="O56" s="48"/>
      <c r="P56" s="48"/>
      <c r="Q56" s="73"/>
      <c r="R56" s="73"/>
      <c r="S56" s="48"/>
      <c r="T56" s="48"/>
      <c r="U56" s="48"/>
      <c r="V56" s="48"/>
      <c r="W56" s="48"/>
      <c r="X56" s="73"/>
      <c r="Y56" s="73"/>
      <c r="Z56" s="48"/>
      <c r="AA56" s="48"/>
      <c r="AB56" s="73"/>
      <c r="AC56" s="48"/>
      <c r="AD56" s="48"/>
      <c r="AE56" s="41"/>
      <c r="AF56" s="48"/>
      <c r="AG56" s="48"/>
      <c r="AH56" s="14"/>
      <c r="AI56" s="17"/>
    </row>
    <row r="57" spans="1:35" ht="15">
      <c r="A57" s="15" t="s">
        <v>171</v>
      </c>
      <c r="B57" s="119"/>
      <c r="C57" s="13"/>
      <c r="D57" s="13"/>
      <c r="E57" s="79"/>
      <c r="F57" s="48"/>
      <c r="G57" s="48"/>
      <c r="H57" s="51"/>
      <c r="I57" s="51"/>
      <c r="J57" s="84"/>
      <c r="K57" s="73"/>
      <c r="L57" s="48"/>
      <c r="M57" s="73"/>
      <c r="N57" s="73"/>
      <c r="O57" s="48"/>
      <c r="P57" s="48"/>
      <c r="Q57" s="73"/>
      <c r="R57" s="73"/>
      <c r="S57" s="48"/>
      <c r="T57" s="48"/>
      <c r="U57" s="48"/>
      <c r="V57" s="48"/>
      <c r="W57" s="48"/>
      <c r="X57" s="73"/>
      <c r="Y57" s="73"/>
      <c r="Z57" s="48"/>
      <c r="AA57" s="41"/>
      <c r="AB57" s="41"/>
      <c r="AC57" s="48"/>
      <c r="AD57" s="48"/>
      <c r="AE57" s="48"/>
      <c r="AF57" s="48"/>
      <c r="AG57" s="48"/>
      <c r="AH57" s="14"/>
      <c r="AI57" s="17"/>
    </row>
    <row r="58" spans="1:35" ht="15">
      <c r="A58" s="15" t="s">
        <v>116</v>
      </c>
      <c r="B58" s="119"/>
      <c r="C58" s="13">
        <v>1400000</v>
      </c>
      <c r="D58" s="13"/>
      <c r="E58" s="79"/>
      <c r="F58" s="48"/>
      <c r="G58" s="48"/>
      <c r="H58" s="51"/>
      <c r="I58" s="51"/>
      <c r="J58" s="84"/>
      <c r="K58" s="73"/>
      <c r="L58" s="48"/>
      <c r="M58" s="73"/>
      <c r="N58" s="73"/>
      <c r="O58" s="48"/>
      <c r="P58" s="48"/>
      <c r="Q58" s="73"/>
      <c r="R58" s="48"/>
      <c r="S58" s="48"/>
      <c r="T58" s="48"/>
      <c r="U58" s="48"/>
      <c r="V58" s="48"/>
      <c r="W58" s="48"/>
      <c r="X58" s="73"/>
      <c r="Y58" s="73"/>
      <c r="Z58" s="48"/>
      <c r="AA58" s="48"/>
      <c r="AB58" s="50"/>
      <c r="AC58" s="50"/>
      <c r="AD58" s="48"/>
      <c r="AE58" s="41"/>
      <c r="AF58" s="50"/>
      <c r="AG58" s="73"/>
      <c r="AH58" s="14"/>
      <c r="AI58" s="17"/>
    </row>
    <row r="59" spans="1:35" ht="15">
      <c r="A59" s="15" t="s">
        <v>172</v>
      </c>
      <c r="B59" s="119"/>
      <c r="C59" s="13"/>
      <c r="D59" s="13"/>
      <c r="E59" s="79"/>
      <c r="F59" s="48"/>
      <c r="G59" s="48"/>
      <c r="H59" s="51"/>
      <c r="I59" s="51"/>
      <c r="J59" s="84"/>
      <c r="K59" s="73"/>
      <c r="L59" s="48"/>
      <c r="M59" s="73"/>
      <c r="N59" s="73"/>
      <c r="O59" s="48"/>
      <c r="P59" s="48"/>
      <c r="Q59" s="73"/>
      <c r="R59" s="48"/>
      <c r="S59" s="48"/>
      <c r="T59" s="48"/>
      <c r="U59" s="48"/>
      <c r="V59" s="48"/>
      <c r="W59" s="48"/>
      <c r="X59" s="73"/>
      <c r="Y59" s="73"/>
      <c r="Z59" s="48"/>
      <c r="AA59" s="41"/>
      <c r="AB59" s="41"/>
      <c r="AC59" s="50"/>
      <c r="AD59" s="48"/>
      <c r="AE59" s="48"/>
      <c r="AF59" s="50"/>
      <c r="AG59" s="73"/>
      <c r="AH59" s="14"/>
      <c r="AI59" s="17"/>
    </row>
    <row r="60" spans="1:35">
      <c r="A60" s="15" t="s">
        <v>28</v>
      </c>
      <c r="B60" s="119"/>
      <c r="C60" s="13"/>
      <c r="D60" s="73"/>
      <c r="E60" s="79"/>
      <c r="F60" s="48"/>
      <c r="G60" s="48"/>
      <c r="H60" s="48"/>
      <c r="I60" s="48"/>
      <c r="J60" s="84"/>
      <c r="K60" s="73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1"/>
      <c r="AF60" s="48"/>
      <c r="AG60" s="48"/>
      <c r="AH60" s="14">
        <f>SUM(C60:AG60)</f>
        <v>0</v>
      </c>
      <c r="AI60" s="17"/>
    </row>
    <row r="61" spans="1:35">
      <c r="A61" s="15" t="s">
        <v>29</v>
      </c>
      <c r="B61" s="119"/>
      <c r="C61" s="13"/>
      <c r="D61" s="73"/>
      <c r="E61" s="79"/>
      <c r="F61" s="48"/>
      <c r="G61" s="48"/>
      <c r="H61" s="48"/>
      <c r="I61" s="48"/>
      <c r="J61" s="84"/>
      <c r="K61" s="73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1"/>
      <c r="AF61" s="48"/>
      <c r="AG61" s="48"/>
      <c r="AH61" s="14">
        <f>SUM(C61:AG61)</f>
        <v>0</v>
      </c>
      <c r="AI61" s="17"/>
    </row>
    <row r="62" spans="1:35">
      <c r="A62" s="15" t="s">
        <v>30</v>
      </c>
      <c r="B62" s="119"/>
      <c r="C62" s="13"/>
      <c r="D62" s="73"/>
      <c r="E62" s="79"/>
      <c r="F62" s="48"/>
      <c r="G62" s="48"/>
      <c r="H62" s="48"/>
      <c r="I62" s="48"/>
      <c r="J62" s="84"/>
      <c r="K62" s="73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79"/>
      <c r="AE62" s="41"/>
      <c r="AF62" s="48"/>
      <c r="AG62" s="48"/>
      <c r="AH62" s="14">
        <f>SUM(C62:AG62)</f>
        <v>0</v>
      </c>
      <c r="AI62" s="17"/>
    </row>
    <row r="63" spans="1:35">
      <c r="A63" s="15" t="s">
        <v>31</v>
      </c>
      <c r="B63" s="119"/>
      <c r="C63" s="13"/>
      <c r="D63" s="73"/>
      <c r="E63" s="79"/>
      <c r="F63" s="48"/>
      <c r="G63" s="48"/>
      <c r="H63" s="48"/>
      <c r="I63" s="48"/>
      <c r="J63" s="84"/>
      <c r="K63" s="73"/>
      <c r="L63" s="48"/>
      <c r="M63" s="48"/>
      <c r="N63" s="48"/>
      <c r="O63" s="48"/>
      <c r="P63" s="48"/>
      <c r="Q63" s="48"/>
      <c r="R63" s="48"/>
      <c r="S63" s="48"/>
      <c r="T63" s="48"/>
      <c r="U63" s="73"/>
      <c r="V63" s="48"/>
      <c r="W63" s="48"/>
      <c r="X63" s="73">
        <v>122849650</v>
      </c>
      <c r="Y63" s="73"/>
      <c r="Z63" s="48"/>
      <c r="AA63" s="73"/>
      <c r="AB63" s="48"/>
      <c r="AC63" s="48"/>
      <c r="AD63" s="79"/>
      <c r="AE63" s="41"/>
      <c r="AF63" s="48"/>
      <c r="AG63" s="48"/>
      <c r="AH63" s="14">
        <f>SUM(C63:AG63)</f>
        <v>122849650</v>
      </c>
      <c r="AI63" s="17"/>
    </row>
    <row r="64" spans="1:35">
      <c r="A64" s="32" t="s">
        <v>46</v>
      </c>
      <c r="B64" s="119"/>
      <c r="C64" s="13">
        <f>75700662+114340774</f>
        <v>190041436</v>
      </c>
      <c r="D64" s="13"/>
      <c r="E64" s="84">
        <v>16629020</v>
      </c>
      <c r="F64" s="73"/>
      <c r="G64" s="73"/>
      <c r="H64" s="48"/>
      <c r="I64" s="73"/>
      <c r="J64" s="105">
        <f>16400468</f>
        <v>16400468</v>
      </c>
      <c r="K64" s="94">
        <f>86038963+4339121+12947774+6689468</f>
        <v>110015326</v>
      </c>
      <c r="L64" s="49"/>
      <c r="M64" s="73"/>
      <c r="N64" s="73"/>
      <c r="O64" s="48"/>
      <c r="P64" s="48"/>
      <c r="Q64" s="73">
        <v>200000000</v>
      </c>
      <c r="R64" s="73">
        <v>201634768</v>
      </c>
      <c r="S64" s="73">
        <v>200000000</v>
      </c>
      <c r="T64" s="73">
        <v>211419459</v>
      </c>
      <c r="U64" s="73">
        <v>2000000000</v>
      </c>
      <c r="V64" s="48"/>
      <c r="W64" s="48"/>
      <c r="X64" s="73"/>
      <c r="Y64" s="73">
        <v>200000000</v>
      </c>
      <c r="Z64" s="73"/>
      <c r="AA64" s="73">
        <f>600000000+225008135</f>
        <v>825008135</v>
      </c>
      <c r="AB64" s="94">
        <v>200000000</v>
      </c>
      <c r="AC64" s="48"/>
      <c r="AD64" s="79"/>
      <c r="AE64" s="42">
        <f>20614302+3593331+500000000</f>
        <v>524207633</v>
      </c>
      <c r="AF64" s="48"/>
      <c r="AG64" s="48"/>
      <c r="AH64" s="14">
        <f>SUM(C64:AG64)</f>
        <v>4895356245</v>
      </c>
      <c r="AI64" s="17"/>
    </row>
    <row r="65" spans="1:35">
      <c r="A65" s="32" t="s">
        <v>47</v>
      </c>
      <c r="B65" s="119"/>
      <c r="C65" s="94">
        <v>500000000</v>
      </c>
      <c r="D65" s="94"/>
      <c r="E65" s="103"/>
      <c r="F65" s="13">
        <v>18585577</v>
      </c>
      <c r="G65" s="87">
        <v>500000000</v>
      </c>
      <c r="H65" s="48"/>
      <c r="I65" s="48"/>
      <c r="J65" s="73">
        <f>26419444</f>
        <v>26419444</v>
      </c>
      <c r="K65" s="73"/>
      <c r="L65" s="73"/>
      <c r="M65" s="73"/>
      <c r="N65" s="73"/>
      <c r="O65" s="48"/>
      <c r="P65" s="48"/>
      <c r="Q65" s="41"/>
      <c r="R65" s="48"/>
      <c r="S65" s="73"/>
      <c r="T65" s="73"/>
      <c r="U65" s="42">
        <v>200000000</v>
      </c>
      <c r="V65" s="91"/>
      <c r="W65" s="48"/>
      <c r="X65" s="73">
        <v>305574537</v>
      </c>
      <c r="Y65" s="73"/>
      <c r="Z65" s="48"/>
      <c r="AA65" s="73">
        <f>35000000+23410266</f>
        <v>58410266</v>
      </c>
      <c r="AB65" s="41"/>
      <c r="AC65" s="73"/>
      <c r="AD65" s="84"/>
      <c r="AE65" s="84">
        <v>211968542</v>
      </c>
      <c r="AF65" s="73"/>
      <c r="AG65" s="48"/>
      <c r="AH65" s="14">
        <f>SUM(F65:AG65)</f>
        <v>1320958366</v>
      </c>
      <c r="AI65" s="17"/>
    </row>
    <row r="66" spans="1:35">
      <c r="A66" s="32" t="s">
        <v>119</v>
      </c>
      <c r="B66" s="111"/>
      <c r="C66" s="78"/>
      <c r="D66" s="78"/>
      <c r="F66" s="41"/>
      <c r="G66" s="41"/>
      <c r="H66" s="48"/>
      <c r="I66" s="48"/>
      <c r="J66" s="73">
        <v>500000000</v>
      </c>
      <c r="L66" s="73"/>
      <c r="M66" s="73"/>
      <c r="N66" s="73"/>
      <c r="O66" s="48"/>
      <c r="P66" s="48"/>
      <c r="Q66" s="41"/>
      <c r="V66" s="48"/>
      <c r="W66" s="41"/>
      <c r="X66" s="41"/>
      <c r="Y66" s="41"/>
      <c r="Z66" s="41"/>
      <c r="AA66" s="41"/>
      <c r="AB66" s="41"/>
      <c r="AC66" s="41"/>
      <c r="AE66" s="48"/>
      <c r="AG66" s="41"/>
      <c r="AH66" s="14"/>
      <c r="AI66" s="17"/>
    </row>
    <row r="67" spans="1:35">
      <c r="A67" s="19" t="s">
        <v>32</v>
      </c>
      <c r="B67" s="20"/>
      <c r="C67" s="66">
        <f t="shared" ref="C67:AH67" si="1">SUM(C7:C66)</f>
        <v>945630416</v>
      </c>
      <c r="D67" s="66">
        <f t="shared" si="1"/>
        <v>0</v>
      </c>
      <c r="E67" s="66">
        <f t="shared" si="1"/>
        <v>423607276</v>
      </c>
      <c r="F67" s="66">
        <f t="shared" si="1"/>
        <v>271146608</v>
      </c>
      <c r="G67" s="66">
        <f t="shared" si="1"/>
        <v>539086508</v>
      </c>
      <c r="H67" s="66">
        <f t="shared" si="1"/>
        <v>0</v>
      </c>
      <c r="I67" s="66">
        <f t="shared" si="1"/>
        <v>0</v>
      </c>
      <c r="J67" s="66">
        <f t="shared" si="1"/>
        <v>802270533</v>
      </c>
      <c r="K67" s="66">
        <f t="shared" si="1"/>
        <v>323286580</v>
      </c>
      <c r="L67" s="66">
        <f t="shared" si="1"/>
        <v>0</v>
      </c>
      <c r="M67" s="66">
        <f t="shared" si="1"/>
        <v>0</v>
      </c>
      <c r="N67" s="66">
        <f t="shared" si="1"/>
        <v>0</v>
      </c>
      <c r="O67" s="66">
        <f t="shared" si="1"/>
        <v>0</v>
      </c>
      <c r="P67" s="66">
        <f t="shared" si="1"/>
        <v>0</v>
      </c>
      <c r="Q67" s="66">
        <f t="shared" si="1"/>
        <v>216297850</v>
      </c>
      <c r="R67" s="66">
        <f t="shared" si="1"/>
        <v>839759768</v>
      </c>
      <c r="S67" s="66">
        <f t="shared" si="1"/>
        <v>329213582</v>
      </c>
      <c r="T67" s="66">
        <f t="shared" si="1"/>
        <v>1076219978</v>
      </c>
      <c r="U67" s="66">
        <f>SUM(U7:U66)</f>
        <v>3815443562</v>
      </c>
      <c r="V67" s="66">
        <f t="shared" si="1"/>
        <v>0</v>
      </c>
      <c r="W67" s="66">
        <f t="shared" si="1"/>
        <v>0</v>
      </c>
      <c r="X67" s="66">
        <f>SUM(X7:X66)</f>
        <v>1199047831</v>
      </c>
      <c r="Y67" s="66">
        <f>SUM(Y7:Y66)</f>
        <v>416589663</v>
      </c>
      <c r="Z67" s="66">
        <f t="shared" si="1"/>
        <v>0</v>
      </c>
      <c r="AA67" s="66">
        <f>SUM(AA7:AA66)</f>
        <v>883418401</v>
      </c>
      <c r="AB67" s="66">
        <f>SUM(AB7:AB66)</f>
        <v>348808055</v>
      </c>
      <c r="AC67" s="66">
        <f t="shared" si="1"/>
        <v>0</v>
      </c>
      <c r="AD67" s="66">
        <f t="shared" si="1"/>
        <v>0</v>
      </c>
      <c r="AE67" s="66">
        <f>SUM(AE7:AE66)</f>
        <v>771176175</v>
      </c>
      <c r="AF67" s="66">
        <f t="shared" si="1"/>
        <v>0</v>
      </c>
      <c r="AG67" s="66">
        <f t="shared" si="1"/>
        <v>0</v>
      </c>
      <c r="AH67" s="21">
        <f t="shared" si="1"/>
        <v>8711554040</v>
      </c>
    </row>
    <row r="68" spans="1:35">
      <c r="A68" s="22"/>
      <c r="B68" s="11"/>
      <c r="C68" s="67"/>
      <c r="D68" s="67"/>
      <c r="E68" s="59"/>
      <c r="F68" s="12"/>
      <c r="G68" s="12"/>
      <c r="H68" s="12"/>
      <c r="I68" s="12"/>
      <c r="J68" s="67"/>
      <c r="K68" s="67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2"/>
      <c r="AD68" s="12"/>
      <c r="AE68" s="12"/>
      <c r="AF68" s="12"/>
      <c r="AG68" s="12"/>
      <c r="AH68" s="23"/>
      <c r="AI68" s="6"/>
    </row>
    <row r="69" spans="1:35">
      <c r="A69" s="24" t="s">
        <v>33</v>
      </c>
      <c r="B69" s="11"/>
      <c r="C69" s="67"/>
      <c r="D69" s="67"/>
      <c r="E69" s="59"/>
      <c r="F69" s="12"/>
      <c r="G69" s="12"/>
      <c r="H69" s="12"/>
      <c r="I69" s="12"/>
      <c r="J69" s="67"/>
      <c r="K69" s="67"/>
      <c r="L69" s="12"/>
      <c r="M69" s="12"/>
      <c r="N69" s="12"/>
      <c r="O69" s="12"/>
      <c r="P69" s="12"/>
      <c r="Q69" s="12"/>
      <c r="R69" s="12"/>
      <c r="S69" s="12"/>
      <c r="T69" s="12"/>
      <c r="U69" s="109"/>
      <c r="V69" s="12"/>
      <c r="W69" s="12"/>
      <c r="X69" s="12"/>
      <c r="Y69" s="12"/>
      <c r="Z69" s="12"/>
      <c r="AA69" s="67"/>
      <c r="AB69" s="67"/>
      <c r="AC69" s="12"/>
      <c r="AD69" s="12"/>
      <c r="AE69" s="12"/>
      <c r="AF69" s="12"/>
      <c r="AG69" s="12"/>
      <c r="AH69" s="23"/>
      <c r="AI69" s="6"/>
    </row>
    <row r="70" spans="1:35">
      <c r="A70" s="25" t="s">
        <v>34</v>
      </c>
      <c r="B70" s="26">
        <v>0</v>
      </c>
      <c r="C70" s="67"/>
      <c r="D70" s="67">
        <v>762488749</v>
      </c>
      <c r="E70" s="60"/>
      <c r="F70" s="26"/>
      <c r="G70" s="26"/>
      <c r="H70" s="26"/>
      <c r="I70" s="26"/>
      <c r="J70" s="67">
        <v>1551117570</v>
      </c>
      <c r="K70" s="67">
        <v>1770635738</v>
      </c>
      <c r="L70" s="26"/>
      <c r="M70" s="67"/>
      <c r="N70" s="67"/>
      <c r="O70" s="26"/>
      <c r="P70" s="67"/>
      <c r="Q70" s="67"/>
      <c r="R70" s="67"/>
      <c r="S70" s="67"/>
      <c r="T70" s="67"/>
      <c r="U70" s="53"/>
      <c r="V70" s="26"/>
      <c r="W70" s="26"/>
      <c r="X70" s="67"/>
      <c r="Y70" s="26"/>
      <c r="Z70" s="67"/>
      <c r="AA70" s="67"/>
      <c r="AB70" s="67"/>
      <c r="AC70" s="26"/>
      <c r="AD70" s="26"/>
      <c r="AE70" s="67"/>
      <c r="AF70" s="67"/>
      <c r="AG70" s="26"/>
      <c r="AH70" s="23">
        <f t="shared" ref="AH70:AH78" si="2">SUM(C70:AG70)</f>
        <v>4084242057</v>
      </c>
      <c r="AI70" s="17"/>
    </row>
    <row r="71" spans="1:35">
      <c r="A71" s="25" t="s">
        <v>35</v>
      </c>
      <c r="B71" s="26">
        <v>0</v>
      </c>
      <c r="C71" s="13"/>
      <c r="D71" s="13">
        <v>1444177219</v>
      </c>
      <c r="E71" s="75"/>
      <c r="F71" s="67">
        <v>2924304151</v>
      </c>
      <c r="G71" s="67">
        <v>2682280081</v>
      </c>
      <c r="H71" s="13"/>
      <c r="I71" s="67"/>
      <c r="J71" s="13">
        <v>2662371843</v>
      </c>
      <c r="K71" s="13">
        <v>793741572</v>
      </c>
      <c r="L71" s="67"/>
      <c r="M71" s="67"/>
      <c r="N71" s="67"/>
      <c r="O71" s="67"/>
      <c r="P71" s="26"/>
      <c r="Q71" s="6"/>
      <c r="R71" s="68">
        <v>467712259</v>
      </c>
      <c r="S71" s="67"/>
      <c r="T71" s="67"/>
      <c r="U71" s="110">
        <v>2696911084</v>
      </c>
      <c r="V71" s="67"/>
      <c r="W71" s="26"/>
      <c r="X71" s="67">
        <v>2163470677</v>
      </c>
      <c r="Y71" s="67"/>
      <c r="Z71" s="67"/>
      <c r="AA71" s="67">
        <v>3135259209</v>
      </c>
      <c r="AB71" s="13">
        <v>2258381468</v>
      </c>
      <c r="AC71" s="26"/>
      <c r="AD71" s="42"/>
      <c r="AE71" s="67">
        <v>2871868749</v>
      </c>
      <c r="AF71" s="67"/>
      <c r="AG71" s="26"/>
      <c r="AH71" s="23">
        <f t="shared" si="2"/>
        <v>24100478312</v>
      </c>
      <c r="AI71" s="17"/>
    </row>
    <row r="72" spans="1:35">
      <c r="A72" s="25" t="s">
        <v>140</v>
      </c>
      <c r="B72" s="26">
        <v>0</v>
      </c>
      <c r="C72" s="67"/>
      <c r="D72" s="68"/>
      <c r="E72" s="60"/>
      <c r="F72" s="67"/>
      <c r="G72" s="67"/>
      <c r="H72" s="26"/>
      <c r="I72" s="26"/>
      <c r="J72" s="67"/>
      <c r="K72" s="67">
        <v>1118707890</v>
      </c>
      <c r="L72" s="67"/>
      <c r="M72" s="67"/>
      <c r="N72" s="67"/>
      <c r="O72" s="26"/>
      <c r="P72" s="26"/>
      <c r="Q72" s="67"/>
      <c r="R72" s="67">
        <v>745259838</v>
      </c>
      <c r="S72" s="67"/>
      <c r="T72" s="67">
        <v>1593609558</v>
      </c>
      <c r="U72" s="69"/>
      <c r="V72" s="26"/>
      <c r="W72" s="26"/>
      <c r="X72" s="26"/>
      <c r="Y72" s="42">
        <v>1446019786</v>
      </c>
      <c r="Z72" s="67"/>
      <c r="AA72" s="67"/>
      <c r="AB72" s="67"/>
      <c r="AC72" s="26"/>
      <c r="AD72" s="26"/>
      <c r="AE72" s="67">
        <v>479110859</v>
      </c>
      <c r="AF72" s="67"/>
      <c r="AG72" s="26"/>
      <c r="AH72" s="23">
        <f t="shared" si="2"/>
        <v>5382707931</v>
      </c>
      <c r="AI72" s="17"/>
    </row>
    <row r="73" spans="1:35">
      <c r="A73" s="11" t="s">
        <v>53</v>
      </c>
      <c r="B73" s="26">
        <v>0</v>
      </c>
      <c r="C73" s="67">
        <v>2689482134</v>
      </c>
      <c r="D73" s="65"/>
      <c r="E73" s="75"/>
      <c r="F73" s="67"/>
      <c r="G73" s="67">
        <v>1060961185</v>
      </c>
      <c r="H73" s="67"/>
      <c r="I73" s="26"/>
      <c r="J73" s="67">
        <v>1604772353</v>
      </c>
      <c r="K73" s="67">
        <v>886996637</v>
      </c>
      <c r="L73" s="67"/>
      <c r="M73" s="67"/>
      <c r="N73" s="65"/>
      <c r="O73" s="41"/>
      <c r="P73" s="42"/>
      <c r="Q73" s="67">
        <v>375885572</v>
      </c>
      <c r="R73" s="67"/>
      <c r="S73" s="67">
        <v>1246116453</v>
      </c>
      <c r="T73" s="42">
        <v>638307740</v>
      </c>
      <c r="U73" s="116">
        <v>901348442</v>
      </c>
      <c r="V73" s="41"/>
      <c r="W73" s="67"/>
      <c r="X73" s="42">
        <v>649470922</v>
      </c>
      <c r="Y73" s="67">
        <v>642211885</v>
      </c>
      <c r="Z73" s="67"/>
      <c r="AA73" s="67"/>
      <c r="AB73" s="13"/>
      <c r="AC73" s="26"/>
      <c r="AD73" s="26"/>
      <c r="AE73" s="67">
        <v>503302980</v>
      </c>
      <c r="AF73" s="67"/>
      <c r="AG73" s="67"/>
      <c r="AH73" s="23">
        <f t="shared" si="2"/>
        <v>11198856303</v>
      </c>
      <c r="AI73" s="17"/>
    </row>
    <row r="74" spans="1:35">
      <c r="A74" s="11" t="s">
        <v>54</v>
      </c>
      <c r="B74" s="26"/>
      <c r="C74" s="67"/>
      <c r="D74" s="68"/>
      <c r="F74" s="67"/>
      <c r="G74" s="67">
        <v>1382449136</v>
      </c>
      <c r="H74" s="26"/>
      <c r="I74" s="26"/>
      <c r="J74" s="67"/>
      <c r="K74" s="67">
        <v>1606107703</v>
      </c>
      <c r="L74" s="67"/>
      <c r="M74" s="67"/>
      <c r="N74" s="67"/>
      <c r="O74" s="26"/>
      <c r="P74" s="42"/>
      <c r="Q74" s="67"/>
      <c r="R74" s="110"/>
      <c r="S74" s="67"/>
      <c r="T74" s="67"/>
      <c r="U74" s="69"/>
      <c r="V74" s="41"/>
      <c r="W74" s="65"/>
      <c r="X74" s="41"/>
      <c r="Y74" s="67">
        <v>766088597</v>
      </c>
      <c r="Z74" s="65"/>
      <c r="AA74" s="67"/>
      <c r="AB74" s="67"/>
      <c r="AC74" s="26"/>
      <c r="AD74" s="67"/>
      <c r="AE74" s="67">
        <v>1168586062</v>
      </c>
      <c r="AF74" s="67"/>
      <c r="AG74" s="26"/>
      <c r="AH74" s="23">
        <f t="shared" si="2"/>
        <v>4923231498</v>
      </c>
      <c r="AI74" s="17">
        <v>1</v>
      </c>
    </row>
    <row r="75" spans="1:35">
      <c r="A75" s="11" t="s">
        <v>37</v>
      </c>
      <c r="B75" s="26">
        <v>0</v>
      </c>
      <c r="C75" s="65">
        <v>1689077382</v>
      </c>
      <c r="D75" s="65"/>
      <c r="E75" s="76"/>
      <c r="F75" s="67">
        <v>965718700</v>
      </c>
      <c r="G75" s="72">
        <v>1051210522</v>
      </c>
      <c r="H75" s="67"/>
      <c r="I75" s="67"/>
      <c r="J75" s="67">
        <v>898429288</v>
      </c>
      <c r="K75" s="67">
        <v>91496528</v>
      </c>
      <c r="L75" s="67"/>
      <c r="M75" s="67"/>
      <c r="N75" s="67"/>
      <c r="O75" s="68"/>
      <c r="P75" s="42"/>
      <c r="Q75" s="67"/>
      <c r="R75" s="110"/>
      <c r="S75" s="26"/>
      <c r="T75" s="67"/>
      <c r="U75" s="6">
        <v>479270533</v>
      </c>
      <c r="V75" s="41"/>
      <c r="W75" s="67"/>
      <c r="X75" s="42"/>
      <c r="Y75" s="65">
        <v>531067483</v>
      </c>
      <c r="Z75" s="67"/>
      <c r="AA75" s="67">
        <v>1384838145</v>
      </c>
      <c r="AB75" s="94">
        <v>1438965253</v>
      </c>
      <c r="AC75" s="67"/>
      <c r="AD75" s="67"/>
      <c r="AE75" s="67">
        <v>393422375</v>
      </c>
      <c r="AF75" s="67"/>
      <c r="AG75" s="67"/>
      <c r="AH75" s="23">
        <f>SUM(C75:AG75)</f>
        <v>8923496209</v>
      </c>
      <c r="AI75" s="17"/>
    </row>
    <row r="76" spans="1:35">
      <c r="A76" s="11" t="s">
        <v>38</v>
      </c>
      <c r="B76" s="26">
        <v>0</v>
      </c>
      <c r="C76" s="68"/>
      <c r="D76" s="68"/>
      <c r="E76" s="61"/>
      <c r="F76" s="67"/>
      <c r="G76" s="67"/>
      <c r="H76" s="26"/>
      <c r="I76" s="26"/>
      <c r="J76" s="67"/>
      <c r="K76" s="67"/>
      <c r="L76" s="67"/>
      <c r="M76" s="67"/>
      <c r="N76" s="78"/>
      <c r="O76" s="65"/>
      <c r="P76" s="68"/>
      <c r="Q76" s="78"/>
      <c r="R76" s="116"/>
      <c r="S76" s="26"/>
      <c r="T76" s="41"/>
      <c r="U76" s="68"/>
      <c r="V76" s="41"/>
      <c r="W76" s="65"/>
      <c r="X76" s="41"/>
      <c r="Y76" s="65"/>
      <c r="Z76" s="78"/>
      <c r="AA76" s="67"/>
      <c r="AB76" s="94">
        <v>703849524</v>
      </c>
      <c r="AC76" s="67"/>
      <c r="AD76" s="67"/>
      <c r="AE76" s="67"/>
      <c r="AF76" s="41"/>
      <c r="AH76" s="23">
        <f t="shared" si="2"/>
        <v>703849524</v>
      </c>
      <c r="AI76" s="17"/>
    </row>
    <row r="77" spans="1:35">
      <c r="A77" s="11" t="s">
        <v>39</v>
      </c>
      <c r="B77" s="26">
        <v>0</v>
      </c>
      <c r="C77" s="69"/>
      <c r="D77" s="65">
        <v>1076261792</v>
      </c>
      <c r="E77" s="6">
        <v>1526441731</v>
      </c>
      <c r="F77" s="67"/>
      <c r="G77" s="67">
        <v>1151482827</v>
      </c>
      <c r="H77" s="67"/>
      <c r="I77" s="67"/>
      <c r="J77" s="67">
        <v>515185459</v>
      </c>
      <c r="K77" s="67">
        <v>711931129</v>
      </c>
      <c r="L77" s="67"/>
      <c r="M77" s="67"/>
      <c r="N77" s="67"/>
      <c r="O77" s="65"/>
      <c r="P77" s="68"/>
      <c r="Q77" s="67">
        <v>1734756779</v>
      </c>
      <c r="R77" s="110">
        <v>1618684297</v>
      </c>
      <c r="S77" s="67">
        <v>977689486</v>
      </c>
      <c r="T77" s="65">
        <v>1045303748</v>
      </c>
      <c r="U77" s="42">
        <v>1739581820</v>
      </c>
      <c r="V77" s="67"/>
      <c r="W77" s="67"/>
      <c r="X77" s="42"/>
      <c r="Y77" s="65"/>
      <c r="Z77" s="67"/>
      <c r="AA77" s="67">
        <v>1359727220</v>
      </c>
      <c r="AB77" s="105">
        <v>2255965609</v>
      </c>
      <c r="AC77" s="67"/>
      <c r="AD77" s="67"/>
      <c r="AE77" s="67">
        <v>1703988024</v>
      </c>
      <c r="AF77" s="67"/>
      <c r="AG77" s="67"/>
      <c r="AH77" s="23">
        <f t="shared" si="2"/>
        <v>17416999921</v>
      </c>
      <c r="AI77" s="17"/>
    </row>
    <row r="78" spans="1:35">
      <c r="A78" s="11" t="s">
        <v>40</v>
      </c>
      <c r="B78" s="26">
        <v>0</v>
      </c>
      <c r="C78" s="68"/>
      <c r="D78" s="68"/>
      <c r="E78" s="67">
        <v>1165572003</v>
      </c>
      <c r="F78" s="67"/>
      <c r="G78" s="6">
        <v>710486679</v>
      </c>
      <c r="H78" s="26"/>
      <c r="I78" s="41"/>
      <c r="J78" s="65"/>
      <c r="K78" s="67"/>
      <c r="L78" s="26"/>
      <c r="M78" s="26"/>
      <c r="N78" s="26"/>
      <c r="O78" s="26"/>
      <c r="P78" s="54"/>
      <c r="Q78" s="67">
        <v>876700575</v>
      </c>
      <c r="S78" s="41"/>
      <c r="T78" s="41"/>
      <c r="U78" s="41"/>
      <c r="V78" s="41"/>
      <c r="W78" s="65"/>
      <c r="X78" s="42"/>
      <c r="Y78" s="42"/>
      <c r="Z78" s="78"/>
      <c r="AA78" s="67"/>
      <c r="AB78" s="94"/>
      <c r="AC78" s="67"/>
      <c r="AD78" s="67"/>
      <c r="AE78" s="26"/>
      <c r="AF78" s="26"/>
      <c r="AG78" s="26"/>
      <c r="AH78" s="23">
        <f t="shared" si="2"/>
        <v>2752759257</v>
      </c>
      <c r="AI78" s="17"/>
    </row>
    <row r="79" spans="1:35">
      <c r="A79" s="27" t="s">
        <v>41</v>
      </c>
      <c r="B79" s="28"/>
      <c r="C79" s="70">
        <f t="shared" ref="C79:AH79" si="3">SUM(C70:C78)</f>
        <v>4378559516</v>
      </c>
      <c r="D79" s="70">
        <f t="shared" si="3"/>
        <v>3282927760</v>
      </c>
      <c r="E79" s="70">
        <f t="shared" si="3"/>
        <v>2692013734</v>
      </c>
      <c r="F79" s="70">
        <f t="shared" si="3"/>
        <v>3890022851</v>
      </c>
      <c r="G79" s="70">
        <f t="shared" si="3"/>
        <v>8038870430</v>
      </c>
      <c r="H79" s="70">
        <f t="shared" si="3"/>
        <v>0</v>
      </c>
      <c r="I79" s="70">
        <f t="shared" si="3"/>
        <v>0</v>
      </c>
      <c r="J79" s="70">
        <f t="shared" si="3"/>
        <v>7231876513</v>
      </c>
      <c r="K79" s="70">
        <f t="shared" si="3"/>
        <v>6979617197</v>
      </c>
      <c r="L79" s="70">
        <f t="shared" si="3"/>
        <v>0</v>
      </c>
      <c r="M79" s="70">
        <f t="shared" si="3"/>
        <v>0</v>
      </c>
      <c r="N79" s="70">
        <f t="shared" si="3"/>
        <v>0</v>
      </c>
      <c r="O79" s="70">
        <f t="shared" si="3"/>
        <v>0</v>
      </c>
      <c r="P79" s="70">
        <f t="shared" si="3"/>
        <v>0</v>
      </c>
      <c r="Q79" s="70">
        <f t="shared" si="3"/>
        <v>2987342926</v>
      </c>
      <c r="R79" s="70">
        <f>SUM(R70:R78)</f>
        <v>2831656394</v>
      </c>
      <c r="S79" s="70">
        <f>SUM(S70:S78)</f>
        <v>2223805939</v>
      </c>
      <c r="T79" s="70">
        <f>SUM(T70:T78)</f>
        <v>3277221046</v>
      </c>
      <c r="U79" s="70">
        <f>SUM(U70:U78)</f>
        <v>5817111879</v>
      </c>
      <c r="V79" s="70">
        <f t="shared" ref="V79:AG79" si="4">SUM(V70:V78)</f>
        <v>0</v>
      </c>
      <c r="W79" s="70">
        <f t="shared" si="4"/>
        <v>0</v>
      </c>
      <c r="X79" s="70">
        <f>SUM(X70:X78)</f>
        <v>2812941599</v>
      </c>
      <c r="Y79" s="70">
        <f>SUM(Y70:Y78)</f>
        <v>3385387751</v>
      </c>
      <c r="Z79" s="70">
        <f t="shared" si="4"/>
        <v>0</v>
      </c>
      <c r="AA79" s="70">
        <f>SUM(AA70:AA78)</f>
        <v>5879824574</v>
      </c>
      <c r="AB79" s="70">
        <f t="shared" si="4"/>
        <v>6657161854</v>
      </c>
      <c r="AC79" s="70">
        <f t="shared" si="4"/>
        <v>0</v>
      </c>
      <c r="AD79" s="70">
        <f t="shared" si="4"/>
        <v>0</v>
      </c>
      <c r="AE79" s="70">
        <f>SUM(AE70:AE78)</f>
        <v>7120279049</v>
      </c>
      <c r="AF79" s="70">
        <f t="shared" si="4"/>
        <v>0</v>
      </c>
      <c r="AG79" s="70">
        <f t="shared" si="4"/>
        <v>0</v>
      </c>
      <c r="AH79" s="30">
        <f t="shared" si="3"/>
        <v>79486621012</v>
      </c>
      <c r="AI79" s="6"/>
    </row>
    <row r="80" spans="1:35">
      <c r="A80" s="387" t="s">
        <v>42</v>
      </c>
      <c r="B80" s="388"/>
      <c r="C80" s="71">
        <f t="shared" ref="C80:AG80" si="5">C67+C79</f>
        <v>5324189932</v>
      </c>
      <c r="D80" s="71">
        <f t="shared" si="5"/>
        <v>3282927760</v>
      </c>
      <c r="E80" s="31">
        <f t="shared" si="5"/>
        <v>3115621010</v>
      </c>
      <c r="F80" s="31">
        <f t="shared" si="5"/>
        <v>4161169459</v>
      </c>
      <c r="G80" s="31">
        <f t="shared" si="5"/>
        <v>8577956938</v>
      </c>
      <c r="H80" s="31">
        <f t="shared" si="5"/>
        <v>0</v>
      </c>
      <c r="I80" s="31">
        <f t="shared" si="5"/>
        <v>0</v>
      </c>
      <c r="J80" s="71">
        <f t="shared" si="5"/>
        <v>8034147046</v>
      </c>
      <c r="K80" s="71">
        <f t="shared" si="5"/>
        <v>7302903777</v>
      </c>
      <c r="L80" s="31">
        <f t="shared" si="5"/>
        <v>0</v>
      </c>
      <c r="M80" s="31">
        <f t="shared" si="5"/>
        <v>0</v>
      </c>
      <c r="N80" s="31">
        <f t="shared" si="5"/>
        <v>0</v>
      </c>
      <c r="O80" s="31">
        <f t="shared" si="5"/>
        <v>0</v>
      </c>
      <c r="P80" s="31">
        <f t="shared" si="5"/>
        <v>0</v>
      </c>
      <c r="Q80" s="31">
        <f t="shared" si="5"/>
        <v>3203640776</v>
      </c>
      <c r="R80" s="31">
        <f>R67+R79</f>
        <v>3671416162</v>
      </c>
      <c r="S80" s="31">
        <f t="shared" si="5"/>
        <v>2553019521</v>
      </c>
      <c r="T80" s="31">
        <f t="shared" si="5"/>
        <v>4353441024</v>
      </c>
      <c r="U80" s="31">
        <f>U67+U79</f>
        <v>9632555441</v>
      </c>
      <c r="V80" s="31">
        <f t="shared" si="5"/>
        <v>0</v>
      </c>
      <c r="W80" s="31">
        <f t="shared" si="5"/>
        <v>0</v>
      </c>
      <c r="X80" s="31">
        <f t="shared" si="5"/>
        <v>4011989430</v>
      </c>
      <c r="Y80" s="31">
        <f t="shared" si="5"/>
        <v>3801977414</v>
      </c>
      <c r="Z80" s="31">
        <f t="shared" si="5"/>
        <v>0</v>
      </c>
      <c r="AA80" s="31">
        <f t="shared" si="5"/>
        <v>6763242975</v>
      </c>
      <c r="AB80" s="31">
        <f t="shared" si="5"/>
        <v>7005969909</v>
      </c>
      <c r="AC80" s="31">
        <f t="shared" si="5"/>
        <v>0</v>
      </c>
      <c r="AD80" s="31">
        <f t="shared" si="5"/>
        <v>0</v>
      </c>
      <c r="AE80" s="31">
        <f t="shared" si="5"/>
        <v>7891455224</v>
      </c>
      <c r="AF80" s="31">
        <f t="shared" si="5"/>
        <v>0</v>
      </c>
      <c r="AG80" s="31">
        <f t="shared" si="5"/>
        <v>0</v>
      </c>
      <c r="AH80" s="31">
        <f>SUM(C80:AG80)</f>
        <v>92687623798</v>
      </c>
    </row>
    <row r="82" spans="1:35">
      <c r="A82" s="3" t="s">
        <v>50</v>
      </c>
      <c r="C82" s="6">
        <v>12570738221</v>
      </c>
      <c r="D82" s="72">
        <v>11253988393</v>
      </c>
      <c r="E82" s="6">
        <v>11991364065</v>
      </c>
      <c r="F82" s="6">
        <v>16705127951</v>
      </c>
      <c r="G82" s="6">
        <v>16946710143</v>
      </c>
      <c r="H82" s="6"/>
      <c r="I82" s="6"/>
      <c r="J82" s="6">
        <v>16912228458</v>
      </c>
      <c r="K82" s="72">
        <v>13490055683</v>
      </c>
      <c r="L82" s="6"/>
      <c r="M82" s="6"/>
      <c r="N82" s="6"/>
      <c r="O82" s="6"/>
      <c r="P82" s="6"/>
      <c r="Q82" s="6">
        <v>11288119384</v>
      </c>
      <c r="R82" s="6">
        <v>9297919360</v>
      </c>
      <c r="S82" s="6">
        <v>9240021212</v>
      </c>
      <c r="T82" s="6">
        <v>10084531282</v>
      </c>
      <c r="U82" s="6">
        <v>14793686663</v>
      </c>
      <c r="V82" s="6"/>
      <c r="W82" s="6"/>
      <c r="X82" s="6">
        <v>11969877806</v>
      </c>
      <c r="Y82" s="6">
        <v>12047180935</v>
      </c>
      <c r="Z82" s="6"/>
      <c r="AA82" s="6">
        <v>15301577658</v>
      </c>
      <c r="AB82" s="40">
        <v>13161904852</v>
      </c>
      <c r="AC82" s="6"/>
      <c r="AD82" s="6"/>
      <c r="AE82" s="6">
        <v>12794696844</v>
      </c>
      <c r="AF82" s="6"/>
      <c r="AG82" s="6"/>
    </row>
    <row r="83" spans="1:35">
      <c r="A83" s="3" t="s">
        <v>139</v>
      </c>
      <c r="C83" s="72">
        <f>C82-C80</f>
        <v>7246548289</v>
      </c>
      <c r="D83" s="74">
        <f>D82-D80</f>
        <v>7971060633</v>
      </c>
      <c r="E83" s="43">
        <f>E82-E80</f>
        <v>8875743055</v>
      </c>
      <c r="F83" s="43">
        <f>F82-F80</f>
        <v>12543958492</v>
      </c>
      <c r="G83" s="43">
        <f>G82-G80</f>
        <v>8368753205</v>
      </c>
      <c r="H83" s="43"/>
      <c r="I83" s="43"/>
      <c r="J83" s="80">
        <f>J82-J80</f>
        <v>8878081412</v>
      </c>
      <c r="K83" s="80">
        <f>K82-K80</f>
        <v>6187151906</v>
      </c>
      <c r="M83" s="43"/>
      <c r="N83" s="40"/>
      <c r="O83" s="40"/>
      <c r="P83" s="40"/>
      <c r="Q83" s="40">
        <f>Q82-Q80</f>
        <v>8084478608</v>
      </c>
      <c r="R83" s="43">
        <f>R82-R80</f>
        <v>5626503198</v>
      </c>
      <c r="S83" s="6">
        <f>S82-S80</f>
        <v>6687001691</v>
      </c>
      <c r="T83" s="6">
        <f>T82-T80</f>
        <v>5731090258</v>
      </c>
      <c r="U83" s="40">
        <f>U82-U80</f>
        <v>5161131222</v>
      </c>
      <c r="V83" s="40"/>
      <c r="W83" s="43"/>
      <c r="X83" s="40">
        <f>X82-X80</f>
        <v>7957888376</v>
      </c>
      <c r="Y83" s="40">
        <f>Y82-Y80</f>
        <v>8245203521</v>
      </c>
      <c r="Z83" s="6"/>
      <c r="AA83" s="6">
        <f>AA82-AA80</f>
        <v>8538334683</v>
      </c>
      <c r="AB83" s="40"/>
      <c r="AC83" s="43"/>
      <c r="AD83" s="40"/>
      <c r="AE83" s="43">
        <f>AE82-AE80</f>
        <v>4903241620</v>
      </c>
      <c r="AF83" s="67"/>
      <c r="AG83" s="67"/>
    </row>
    <row r="84" spans="1:35">
      <c r="C84" s="72"/>
      <c r="R84" s="6"/>
      <c r="T84" s="6"/>
      <c r="AA84" s="6"/>
      <c r="AF84" s="6"/>
    </row>
    <row r="85" spans="1:35">
      <c r="K85" s="80"/>
    </row>
    <row r="86" spans="1:35">
      <c r="K86" s="80"/>
    </row>
    <row r="87" spans="1:35">
      <c r="G87" s="3" t="s">
        <v>112</v>
      </c>
    </row>
    <row r="88" spans="1:35">
      <c r="G88" s="3" t="s">
        <v>107</v>
      </c>
      <c r="X88" s="3" t="s">
        <v>167</v>
      </c>
      <c r="Y88" s="6">
        <v>14150000000</v>
      </c>
      <c r="AD88" s="41" t="s">
        <v>120</v>
      </c>
      <c r="AE88" s="42">
        <v>35472809</v>
      </c>
      <c r="AF88" s="41" t="s">
        <v>128</v>
      </c>
      <c r="AG88" s="116">
        <f>12601000+58786100+70661200</f>
        <v>142048300</v>
      </c>
      <c r="AH88" s="41" t="s">
        <v>131</v>
      </c>
      <c r="AI88" s="42">
        <v>24220575</v>
      </c>
    </row>
    <row r="89" spans="1:35">
      <c r="C89" s="3"/>
      <c r="D89" s="3"/>
      <c r="X89" s="3" t="s">
        <v>168</v>
      </c>
      <c r="Y89" s="3" t="s">
        <v>169</v>
      </c>
      <c r="AD89" s="41" t="s">
        <v>121</v>
      </c>
      <c r="AE89" s="42">
        <v>14204180</v>
      </c>
      <c r="AF89" s="41" t="s">
        <v>129</v>
      </c>
      <c r="AG89" s="116">
        <v>1130000</v>
      </c>
      <c r="AH89" s="41" t="s">
        <v>132</v>
      </c>
      <c r="AI89" s="42">
        <v>29013000</v>
      </c>
    </row>
    <row r="90" spans="1:35">
      <c r="S90" s="44">
        <v>44256</v>
      </c>
      <c r="U90" s="44">
        <f>S90+70</f>
        <v>44326</v>
      </c>
      <c r="AD90" s="41" t="s">
        <v>122</v>
      </c>
      <c r="AE90" s="42">
        <v>38068270</v>
      </c>
      <c r="AF90" s="41" t="s">
        <v>130</v>
      </c>
      <c r="AG90" s="116">
        <v>124601500</v>
      </c>
      <c r="AH90" s="41" t="s">
        <v>127</v>
      </c>
      <c r="AI90" s="42">
        <v>43960805</v>
      </c>
    </row>
    <row r="91" spans="1:35" ht="15">
      <c r="C91" s="3"/>
      <c r="D91" s="3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/>
      <c r="X91"/>
      <c r="Y91"/>
      <c r="AD91" s="41" t="s">
        <v>123</v>
      </c>
      <c r="AE91" s="42">
        <v>37755482</v>
      </c>
      <c r="AF91" s="32" t="s">
        <v>6</v>
      </c>
      <c r="AG91" s="117">
        <f>SUM(AG88:AG90)</f>
        <v>267779800</v>
      </c>
      <c r="AH91" s="41" t="s">
        <v>133</v>
      </c>
      <c r="AI91" s="42">
        <v>16297393</v>
      </c>
    </row>
    <row r="92" spans="1:35" ht="15">
      <c r="C92" s="3"/>
      <c r="D92" s="3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/>
      <c r="X92"/>
      <c r="Y92"/>
      <c r="AD92" s="41" t="s">
        <v>124</v>
      </c>
      <c r="AE92" s="42">
        <v>120074200</v>
      </c>
      <c r="AG92" s="6"/>
      <c r="AH92" s="41" t="s">
        <v>134</v>
      </c>
      <c r="AI92" s="42">
        <v>71402128</v>
      </c>
    </row>
    <row r="93" spans="1:35" ht="15">
      <c r="C93" s="3"/>
      <c r="D93" s="3"/>
      <c r="M93" s="45"/>
      <c r="N93" s="45"/>
      <c r="O93" s="45"/>
      <c r="P93" s="45"/>
      <c r="Q93" s="45" t="s">
        <v>108</v>
      </c>
      <c r="R93" s="45"/>
      <c r="S93" s="45"/>
      <c r="T93" s="45"/>
      <c r="U93" s="45"/>
      <c r="V93" s="45"/>
      <c r="W93"/>
      <c r="X93"/>
      <c r="Y93"/>
      <c r="AC93" s="3" t="s">
        <v>111</v>
      </c>
      <c r="AD93" s="41" t="s">
        <v>125</v>
      </c>
      <c r="AE93" s="42">
        <v>39264697</v>
      </c>
      <c r="AG93" s="6"/>
      <c r="AH93" s="41" t="s">
        <v>135</v>
      </c>
      <c r="AI93" s="42">
        <v>70219456</v>
      </c>
    </row>
    <row r="94" spans="1:35" ht="15">
      <c r="C94" s="3"/>
      <c r="D94" s="3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/>
      <c r="X94"/>
      <c r="Y94"/>
      <c r="AD94" s="41" t="s">
        <v>126</v>
      </c>
      <c r="AE94" s="42">
        <v>3066461</v>
      </c>
      <c r="AG94" s="6"/>
      <c r="AH94" s="41" t="s">
        <v>120</v>
      </c>
      <c r="AI94" s="42">
        <v>6461250</v>
      </c>
    </row>
    <row r="95" spans="1:35" ht="15">
      <c r="C95" s="3"/>
      <c r="D95" s="3"/>
      <c r="M95" s="45"/>
      <c r="N95" s="45"/>
      <c r="O95" s="45"/>
      <c r="P95" s="45"/>
      <c r="Q95" s="45"/>
      <c r="R95" s="45"/>
      <c r="S95" s="45"/>
      <c r="T95" s="45"/>
      <c r="U95" s="45"/>
      <c r="V95" s="45" t="s">
        <v>95</v>
      </c>
      <c r="W95"/>
      <c r="X95"/>
      <c r="Y95"/>
      <c r="AD95" s="41" t="s">
        <v>127</v>
      </c>
      <c r="AE95" s="42">
        <v>1150000</v>
      </c>
      <c r="AF95" s="3" t="s">
        <v>128</v>
      </c>
      <c r="AG95" s="6"/>
      <c r="AH95" s="41" t="s">
        <v>121</v>
      </c>
      <c r="AI95" s="42">
        <v>2735500</v>
      </c>
    </row>
    <row r="96" spans="1:35" ht="15">
      <c r="C96" s="3"/>
      <c r="D96" s="3"/>
      <c r="M96" s="45"/>
      <c r="N96" s="45"/>
      <c r="O96" s="45"/>
      <c r="P96" s="45"/>
      <c r="Q96" s="45"/>
      <c r="R96" s="45"/>
      <c r="S96" s="45"/>
      <c r="T96" s="45"/>
      <c r="U96" s="45"/>
      <c r="V96" s="45" t="s">
        <v>96</v>
      </c>
      <c r="W96"/>
      <c r="X96">
        <v>2</v>
      </c>
      <c r="Y96"/>
      <c r="AD96" s="32" t="s">
        <v>6</v>
      </c>
      <c r="AE96" s="115">
        <f>SUM(AE88:AE95)</f>
        <v>289056099</v>
      </c>
      <c r="AH96" s="41" t="s">
        <v>136</v>
      </c>
      <c r="AI96" s="42">
        <v>26692000</v>
      </c>
    </row>
    <row r="97" spans="3:35" ht="15">
      <c r="C97" s="3"/>
      <c r="D97" s="3"/>
      <c r="M97" s="45" t="s">
        <v>97</v>
      </c>
      <c r="N97" s="45"/>
      <c r="O97" s="45"/>
      <c r="P97" s="45"/>
      <c r="Q97" s="45"/>
      <c r="R97" s="45"/>
      <c r="S97" s="45"/>
      <c r="T97" s="45"/>
      <c r="U97" s="45"/>
      <c r="V97" s="45" t="s">
        <v>98</v>
      </c>
      <c r="W97"/>
      <c r="X97">
        <v>2</v>
      </c>
      <c r="Y97"/>
      <c r="AG97" s="3" t="s">
        <v>112</v>
      </c>
      <c r="AH97" s="41" t="s">
        <v>123</v>
      </c>
      <c r="AI97" s="42">
        <v>27332750</v>
      </c>
    </row>
    <row r="98" spans="3:35" ht="15">
      <c r="C98" s="3"/>
      <c r="D98" s="3"/>
      <c r="M98" s="45"/>
      <c r="N98" s="45"/>
      <c r="O98" s="45"/>
      <c r="P98" s="45"/>
      <c r="Q98" s="45"/>
      <c r="R98" s="45"/>
      <c r="S98" s="45"/>
      <c r="T98" s="45"/>
      <c r="U98" s="45"/>
      <c r="V98" s="45" t="s">
        <v>99</v>
      </c>
      <c r="W98"/>
      <c r="X98">
        <v>10</v>
      </c>
      <c r="Y98"/>
      <c r="AH98" s="41" t="s">
        <v>124</v>
      </c>
      <c r="AI98" s="42">
        <v>46899155</v>
      </c>
    </row>
    <row r="99" spans="3:35" ht="15">
      <c r="C99" s="3"/>
      <c r="D99" s="3"/>
      <c r="M99"/>
      <c r="N99"/>
      <c r="O99" s="46"/>
      <c r="P99" s="46"/>
      <c r="Q99" s="46"/>
      <c r="R99" s="46"/>
      <c r="S99" s="46"/>
      <c r="T99" s="46"/>
      <c r="U99" s="46"/>
      <c r="V99" s="47" t="s">
        <v>100</v>
      </c>
      <c r="W99" s="46" t="s">
        <v>101</v>
      </c>
      <c r="X99"/>
      <c r="Y99"/>
      <c r="AH99" s="41" t="s">
        <v>125</v>
      </c>
      <c r="AI99" s="42">
        <v>43312000</v>
      </c>
    </row>
    <row r="100" spans="3:35" ht="15">
      <c r="C100" s="3"/>
      <c r="D100" s="3"/>
      <c r="M100"/>
      <c r="N100"/>
      <c r="O100" s="46"/>
      <c r="P100" s="46"/>
      <c r="Q100" s="46"/>
      <c r="R100" s="46"/>
      <c r="S100" s="46"/>
      <c r="T100" s="46"/>
      <c r="U100" s="46"/>
      <c r="V100" s="47"/>
      <c r="W100" s="46"/>
      <c r="X100"/>
      <c r="Y100"/>
      <c r="AH100" s="41" t="s">
        <v>138</v>
      </c>
      <c r="AI100" s="42">
        <v>2134000</v>
      </c>
    </row>
    <row r="101" spans="3:35" ht="15">
      <c r="C101" s="3"/>
      <c r="D101" s="3"/>
      <c r="M101"/>
      <c r="N101"/>
      <c r="O101" s="46"/>
      <c r="P101" s="46"/>
      <c r="Q101" s="46"/>
      <c r="R101" s="46"/>
      <c r="S101" s="46"/>
      <c r="T101" s="46"/>
      <c r="U101" s="46"/>
      <c r="V101" s="46"/>
      <c r="W101" s="46"/>
      <c r="X101"/>
      <c r="Y101"/>
      <c r="AH101" s="41" t="s">
        <v>137</v>
      </c>
      <c r="AI101" s="42">
        <v>353453</v>
      </c>
    </row>
    <row r="102" spans="3:35">
      <c r="AH102" s="32" t="s">
        <v>6</v>
      </c>
      <c r="AI102" s="115">
        <f>SUM(AI88:AI101)</f>
        <v>411033465</v>
      </c>
    </row>
    <row r="103" spans="3:35">
      <c r="AI103" s="6"/>
    </row>
    <row r="104" spans="3:35">
      <c r="AI104" s="6"/>
    </row>
    <row r="105" spans="3:35">
      <c r="AI105" s="6"/>
    </row>
    <row r="106" spans="3:35">
      <c r="AI106" s="6"/>
    </row>
    <row r="107" spans="3:35">
      <c r="AI107" s="6"/>
    </row>
    <row r="108" spans="3:35">
      <c r="AI108" s="6"/>
    </row>
  </sheetData>
  <mergeCells count="2">
    <mergeCell ref="C4:AG4"/>
    <mergeCell ref="A80:B80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110"/>
  <sheetViews>
    <sheetView topLeftCell="A34" workbookViewId="0">
      <pane xSplit="1" topLeftCell="AB1" activePane="topRight" state="frozen"/>
      <selection pane="topRight" activeCell="AC54" sqref="AC54"/>
    </sheetView>
  </sheetViews>
  <sheetFormatPr defaultRowHeight="12.75"/>
  <cols>
    <col min="1" max="1" width="35.140625" style="3" customWidth="1"/>
    <col min="2" max="2" width="10.28515625" style="3" customWidth="1"/>
    <col min="3" max="3" width="18" style="64" customWidth="1"/>
    <col min="4" max="4" width="16.140625" style="64" customWidth="1"/>
    <col min="5" max="5" width="16.140625" style="3" customWidth="1"/>
    <col min="6" max="6" width="17.140625" style="3" customWidth="1"/>
    <col min="7" max="7" width="17.5703125" style="3" customWidth="1"/>
    <col min="8" max="8" width="17" style="3" customWidth="1"/>
    <col min="9" max="9" width="17.42578125" style="3" customWidth="1"/>
    <col min="10" max="10" width="17.5703125" style="64" customWidth="1"/>
    <col min="11" max="11" width="16.85546875" style="64" customWidth="1"/>
    <col min="12" max="12" width="16.5703125" style="3" customWidth="1"/>
    <col min="13" max="14" width="17.5703125" style="3" customWidth="1"/>
    <col min="15" max="15" width="18.28515625" style="3" customWidth="1"/>
    <col min="16" max="16" width="16" style="3" customWidth="1"/>
    <col min="17" max="17" width="18.7109375" style="3" customWidth="1"/>
    <col min="18" max="18" width="17.28515625" style="3" customWidth="1"/>
    <col min="19" max="19" width="17.140625" style="3" customWidth="1"/>
    <col min="20" max="20" width="18.28515625" style="3" customWidth="1"/>
    <col min="21" max="22" width="15.28515625" style="3" customWidth="1"/>
    <col min="23" max="23" width="16.5703125" style="3" customWidth="1"/>
    <col min="24" max="24" width="17" style="3" customWidth="1"/>
    <col min="25" max="25" width="16" style="3" customWidth="1"/>
    <col min="26" max="26" width="15.28515625" style="3" customWidth="1"/>
    <col min="27" max="27" width="17" style="3" customWidth="1"/>
    <col min="28" max="28" width="15.5703125" style="3" customWidth="1"/>
    <col min="29" max="29" width="16.140625" style="3" customWidth="1"/>
    <col min="30" max="30" width="21.7109375" style="3" customWidth="1"/>
    <col min="31" max="31" width="16.28515625" style="3" customWidth="1"/>
    <col min="32" max="32" width="17.5703125" style="3" customWidth="1"/>
    <col min="33" max="33" width="15" style="3" customWidth="1"/>
    <col min="34" max="34" width="20.28515625" style="3" customWidth="1"/>
    <col min="35" max="35" width="13" style="3" customWidth="1"/>
    <col min="36" max="36" width="12.85546875" style="3" customWidth="1"/>
    <col min="37" max="37" width="11.28515625" style="3" bestFit="1" customWidth="1"/>
    <col min="38" max="16384" width="9.140625" style="3"/>
  </cols>
  <sheetData>
    <row r="1" spans="1:35">
      <c r="A1" s="1" t="s">
        <v>0</v>
      </c>
      <c r="B1" s="2"/>
      <c r="C1" s="62"/>
      <c r="D1" s="62"/>
      <c r="E1" s="2"/>
      <c r="F1" s="2"/>
      <c r="G1" s="2"/>
      <c r="H1" s="2"/>
      <c r="I1" s="2"/>
      <c r="J1" s="62"/>
      <c r="K1" s="6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s="6" customFormat="1">
      <c r="A2" s="4" t="s">
        <v>1</v>
      </c>
      <c r="B2" s="5"/>
      <c r="C2" s="63"/>
      <c r="D2" s="63"/>
      <c r="E2" s="5"/>
      <c r="F2" s="5"/>
      <c r="G2" s="5"/>
      <c r="H2" s="5"/>
      <c r="I2" s="5"/>
      <c r="J2" s="63"/>
      <c r="K2" s="63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>
      <c r="A3" s="7" t="s">
        <v>2</v>
      </c>
      <c r="B3" s="8">
        <v>44348</v>
      </c>
      <c r="C3" s="63"/>
      <c r="D3" s="63"/>
      <c r="E3" s="5"/>
      <c r="F3" s="5"/>
      <c r="G3" s="5"/>
      <c r="H3" s="5"/>
      <c r="I3" s="5"/>
      <c r="J3" s="63"/>
      <c r="K3" s="63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>
      <c r="A4" s="34" t="s">
        <v>3</v>
      </c>
      <c r="B4" s="35" t="s">
        <v>4</v>
      </c>
      <c r="C4" s="384" t="s">
        <v>5</v>
      </c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6"/>
      <c r="AH4" s="36" t="s">
        <v>6</v>
      </c>
      <c r="AI4" s="6"/>
    </row>
    <row r="5" spans="1:35">
      <c r="A5" s="34"/>
      <c r="B5" s="35"/>
      <c r="C5" s="37">
        <v>153</v>
      </c>
      <c r="D5" s="37">
        <v>154</v>
      </c>
      <c r="E5" s="37">
        <v>155</v>
      </c>
      <c r="F5" s="37">
        <v>156</v>
      </c>
      <c r="G5" s="37">
        <v>157</v>
      </c>
      <c r="H5" s="37">
        <v>158</v>
      </c>
      <c r="I5" s="37">
        <v>159</v>
      </c>
      <c r="J5" s="37">
        <v>160</v>
      </c>
      <c r="K5" s="37">
        <v>161</v>
      </c>
      <c r="L5" s="37">
        <v>162</v>
      </c>
      <c r="M5" s="37">
        <v>163</v>
      </c>
      <c r="N5" s="37">
        <v>164</v>
      </c>
      <c r="O5" s="37">
        <v>165</v>
      </c>
      <c r="P5" s="37">
        <v>166</v>
      </c>
      <c r="Q5" s="37">
        <v>167</v>
      </c>
      <c r="R5" s="37">
        <v>168</v>
      </c>
      <c r="S5" s="37">
        <v>169</v>
      </c>
      <c r="T5" s="37">
        <v>170</v>
      </c>
      <c r="U5" s="37">
        <v>171</v>
      </c>
      <c r="V5" s="37">
        <v>172</v>
      </c>
      <c r="W5" s="37">
        <v>173</v>
      </c>
      <c r="X5" s="37">
        <v>174</v>
      </c>
      <c r="Y5" s="37">
        <v>175</v>
      </c>
      <c r="Z5" s="37">
        <v>176</v>
      </c>
      <c r="AA5" s="37">
        <v>177</v>
      </c>
      <c r="AB5" s="37">
        <v>178</v>
      </c>
      <c r="AC5" s="37">
        <v>179</v>
      </c>
      <c r="AD5" s="37">
        <v>180</v>
      </c>
      <c r="AE5" s="37">
        <v>181</v>
      </c>
      <c r="AF5" s="37">
        <v>182</v>
      </c>
      <c r="AG5" s="37">
        <v>183</v>
      </c>
      <c r="AH5" s="36"/>
      <c r="AI5" s="6"/>
    </row>
    <row r="6" spans="1:35">
      <c r="A6" s="10" t="s">
        <v>7</v>
      </c>
      <c r="B6" s="11"/>
      <c r="C6" s="13"/>
      <c r="D6" s="13"/>
      <c r="E6" s="14"/>
      <c r="F6" s="14"/>
      <c r="G6" s="14"/>
      <c r="H6" s="14"/>
      <c r="I6" s="14"/>
      <c r="J6" s="13"/>
      <c r="K6" s="13"/>
      <c r="L6" s="14"/>
      <c r="M6" s="14"/>
      <c r="N6" s="14"/>
      <c r="O6" s="13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13"/>
      <c r="AC6" s="14"/>
      <c r="AD6" s="14"/>
      <c r="AE6" s="14"/>
      <c r="AF6" s="14"/>
      <c r="AG6" s="14"/>
      <c r="AH6" s="12"/>
      <c r="AI6" s="6"/>
    </row>
    <row r="7" spans="1:35">
      <c r="A7" s="15" t="s">
        <v>48</v>
      </c>
      <c r="B7" s="11"/>
      <c r="C7" s="13"/>
      <c r="D7" s="73">
        <f>836447040</f>
        <v>836447040</v>
      </c>
      <c r="G7" s="48"/>
      <c r="H7" s="50"/>
      <c r="I7" s="41"/>
      <c r="J7" s="73">
        <v>612045720</v>
      </c>
      <c r="K7" s="73"/>
      <c r="L7" s="48"/>
      <c r="M7" s="48"/>
      <c r="N7" s="87"/>
      <c r="O7" s="50"/>
      <c r="P7" s="48"/>
      <c r="Q7" s="48"/>
      <c r="R7" s="73"/>
      <c r="S7" s="49"/>
      <c r="T7" s="73"/>
      <c r="U7" s="73"/>
      <c r="V7" s="48"/>
      <c r="W7" s="48"/>
      <c r="X7" s="73">
        <v>128571300</v>
      </c>
      <c r="Y7" s="48"/>
      <c r="Z7" s="48"/>
      <c r="AA7" s="48"/>
      <c r="AB7" s="79"/>
      <c r="AC7" s="48"/>
      <c r="AD7" s="48"/>
      <c r="AE7" s="48"/>
      <c r="AF7" s="48"/>
      <c r="AG7" s="48"/>
      <c r="AH7" s="14">
        <f t="shared" ref="AH7:AH31" si="0">SUM(C7:AG7)</f>
        <v>1577064060</v>
      </c>
      <c r="AI7" s="17"/>
    </row>
    <row r="8" spans="1:35">
      <c r="A8" s="15" t="s">
        <v>49</v>
      </c>
      <c r="B8" s="11"/>
      <c r="C8" s="13"/>
      <c r="D8" s="73"/>
      <c r="E8" s="48"/>
      <c r="F8" s="48"/>
      <c r="G8" s="48"/>
      <c r="H8" s="48"/>
      <c r="I8" s="48"/>
      <c r="J8" s="78"/>
      <c r="K8" s="73"/>
      <c r="L8" s="48"/>
      <c r="M8" s="48"/>
      <c r="N8" s="48"/>
      <c r="O8" s="48"/>
      <c r="P8" s="48"/>
      <c r="Q8" s="48"/>
      <c r="R8" s="79"/>
      <c r="S8" s="48"/>
      <c r="T8" s="48"/>
      <c r="U8" s="48"/>
      <c r="V8" s="48"/>
      <c r="W8" s="48"/>
      <c r="X8" s="48"/>
      <c r="Y8" s="48"/>
      <c r="Z8" s="48"/>
      <c r="AA8" s="48"/>
      <c r="AB8" s="79"/>
      <c r="AC8" s="48"/>
      <c r="AD8" s="48"/>
      <c r="AE8" s="48"/>
      <c r="AF8" s="48"/>
      <c r="AG8" s="48"/>
      <c r="AH8" s="14">
        <f t="shared" si="0"/>
        <v>0</v>
      </c>
      <c r="AI8" s="17"/>
    </row>
    <row r="9" spans="1:35">
      <c r="A9" s="15" t="s">
        <v>8</v>
      </c>
      <c r="B9" s="11"/>
      <c r="C9" s="89"/>
      <c r="D9" s="73"/>
      <c r="E9" s="48"/>
      <c r="F9" s="73"/>
      <c r="G9" s="48"/>
      <c r="H9" s="48"/>
      <c r="I9" s="48"/>
      <c r="J9" s="78"/>
      <c r="K9" s="78"/>
      <c r="L9" s="41"/>
      <c r="M9" s="41"/>
      <c r="N9" s="50"/>
      <c r="O9" s="48"/>
      <c r="P9" s="41"/>
      <c r="Q9" s="41"/>
      <c r="S9" s="73">
        <f>148549516-101687003</f>
        <v>46862513</v>
      </c>
      <c r="T9" s="48"/>
      <c r="U9" s="73"/>
      <c r="V9" s="73"/>
      <c r="W9" s="48"/>
      <c r="X9" s="73"/>
      <c r="Y9" s="48"/>
      <c r="Z9" s="48"/>
      <c r="AA9" s="73">
        <f>25543189-5502404-18036795</f>
        <v>2003990</v>
      </c>
      <c r="AB9" s="84"/>
      <c r="AC9" s="48"/>
      <c r="AD9" s="48"/>
      <c r="AE9" s="73"/>
      <c r="AF9" s="48"/>
      <c r="AG9" s="48"/>
      <c r="AH9" s="14">
        <f t="shared" si="0"/>
        <v>48866503</v>
      </c>
      <c r="AI9" s="17"/>
    </row>
    <row r="10" spans="1:35">
      <c r="A10" s="15" t="s">
        <v>9</v>
      </c>
      <c r="B10" s="11"/>
      <c r="C10" s="89"/>
      <c r="D10" s="73"/>
      <c r="E10" s="48"/>
      <c r="F10" s="48"/>
      <c r="G10" s="48"/>
      <c r="H10" s="48"/>
      <c r="I10" s="48"/>
      <c r="J10" s="78"/>
      <c r="K10" s="73"/>
      <c r="L10" s="48"/>
      <c r="M10" s="48"/>
      <c r="N10" s="48"/>
      <c r="O10" s="48"/>
      <c r="P10" s="48"/>
      <c r="Q10" s="48"/>
      <c r="R10" s="79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14">
        <f>SUM(C10:AG10)</f>
        <v>0</v>
      </c>
      <c r="AI10" s="17"/>
    </row>
    <row r="11" spans="1:35">
      <c r="A11" s="15" t="s">
        <v>10</v>
      </c>
      <c r="B11" s="11"/>
      <c r="C11" s="101"/>
      <c r="D11" s="102"/>
      <c r="E11" s="48"/>
      <c r="F11" s="50"/>
      <c r="G11" s="50"/>
      <c r="H11" s="48"/>
      <c r="I11" s="48"/>
      <c r="J11" s="78"/>
      <c r="K11" s="102"/>
      <c r="L11" s="50"/>
      <c r="M11" s="73"/>
      <c r="N11" s="49"/>
      <c r="O11" s="50"/>
      <c r="P11" s="48"/>
      <c r="Q11" s="48"/>
      <c r="R11" s="79"/>
      <c r="S11" s="48"/>
      <c r="T11" s="50"/>
      <c r="U11" s="48"/>
      <c r="V11" s="48"/>
      <c r="W11" s="48"/>
      <c r="X11" s="48"/>
      <c r="Y11" s="48"/>
      <c r="Z11" s="48"/>
      <c r="AA11" s="48"/>
      <c r="AB11" s="50"/>
      <c r="AC11" s="48"/>
      <c r="AD11" s="48"/>
      <c r="AE11" s="48"/>
      <c r="AF11" s="48"/>
      <c r="AG11" s="48"/>
      <c r="AH11" s="14">
        <f>SUM(E11:AG11)</f>
        <v>0</v>
      </c>
      <c r="AI11" s="17"/>
    </row>
    <row r="12" spans="1:35">
      <c r="A12" s="15" t="s">
        <v>189</v>
      </c>
      <c r="B12" s="11"/>
      <c r="C12" s="89"/>
      <c r="D12" s="73"/>
      <c r="E12" s="48"/>
      <c r="F12" s="48"/>
      <c r="G12" s="48"/>
      <c r="H12" s="48"/>
      <c r="I12" s="73">
        <v>35000000</v>
      </c>
      <c r="J12" s="78"/>
      <c r="K12" s="73"/>
      <c r="L12" s="48"/>
      <c r="M12" s="41"/>
      <c r="N12" s="48"/>
      <c r="O12" s="48"/>
      <c r="P12" s="41"/>
      <c r="Q12" s="41"/>
      <c r="S12" s="41"/>
      <c r="T12" s="41"/>
      <c r="U12" s="48"/>
      <c r="V12" s="41"/>
      <c r="W12" s="41"/>
      <c r="X12" s="41"/>
      <c r="Y12" s="41"/>
      <c r="Z12" s="41"/>
      <c r="AA12" s="41"/>
      <c r="AB12" s="48"/>
      <c r="AC12" s="48"/>
      <c r="AD12" s="41"/>
      <c r="AE12" s="41"/>
      <c r="AF12" s="48">
        <v>35000000</v>
      </c>
      <c r="AG12" s="48"/>
      <c r="AH12" s="14">
        <f t="shared" si="0"/>
        <v>70000000</v>
      </c>
      <c r="AI12" s="17"/>
    </row>
    <row r="13" spans="1:35">
      <c r="A13" s="15" t="s">
        <v>190</v>
      </c>
      <c r="B13" s="11"/>
      <c r="C13" s="89"/>
      <c r="D13" s="73"/>
      <c r="E13" s="48"/>
      <c r="F13" s="48"/>
      <c r="G13" s="48"/>
      <c r="H13" s="48"/>
      <c r="I13" s="73"/>
      <c r="J13" s="78"/>
      <c r="K13" s="73"/>
      <c r="L13" s="48"/>
      <c r="M13" s="41"/>
      <c r="N13" s="48"/>
      <c r="O13" s="48"/>
      <c r="P13" s="41"/>
      <c r="Q13" s="41"/>
      <c r="S13" s="41"/>
      <c r="T13" s="41"/>
      <c r="U13" s="48"/>
      <c r="V13" s="41"/>
      <c r="W13" s="41"/>
      <c r="X13" s="41"/>
      <c r="Y13" s="41"/>
      <c r="Z13" s="41"/>
      <c r="AA13" s="41"/>
      <c r="AB13" s="48"/>
      <c r="AC13" s="48"/>
      <c r="AD13" s="41"/>
      <c r="AE13" s="41"/>
      <c r="AF13" s="73">
        <v>52401623</v>
      </c>
      <c r="AG13" s="48"/>
      <c r="AH13" s="14"/>
      <c r="AI13" s="17"/>
    </row>
    <row r="14" spans="1:35">
      <c r="A14" s="15" t="s">
        <v>191</v>
      </c>
      <c r="B14" s="11"/>
      <c r="C14" s="89"/>
      <c r="D14" s="73"/>
      <c r="E14" s="48"/>
      <c r="F14" s="48"/>
      <c r="G14" s="48"/>
      <c r="H14" s="48"/>
      <c r="I14" s="73"/>
      <c r="J14" s="78"/>
      <c r="K14" s="73"/>
      <c r="L14" s="48"/>
      <c r="M14" s="41"/>
      <c r="N14" s="48"/>
      <c r="O14" s="48"/>
      <c r="P14" s="41"/>
      <c r="Q14" s="41"/>
      <c r="S14" s="41"/>
      <c r="T14" s="41"/>
      <c r="U14" s="48"/>
      <c r="V14" s="41"/>
      <c r="W14" s="41"/>
      <c r="X14" s="41"/>
      <c r="Y14" s="41"/>
      <c r="Z14" s="41"/>
      <c r="AA14" s="41"/>
      <c r="AB14" s="48"/>
      <c r="AC14" s="48"/>
      <c r="AD14" s="41"/>
      <c r="AE14" s="41"/>
      <c r="AF14" s="73">
        <v>29094133</v>
      </c>
      <c r="AG14" s="48"/>
      <c r="AH14" s="14"/>
      <c r="AI14" s="17"/>
    </row>
    <row r="15" spans="1:35">
      <c r="A15" s="18" t="s">
        <v>12</v>
      </c>
      <c r="B15" s="11"/>
      <c r="C15" s="89"/>
      <c r="D15" s="73"/>
      <c r="E15" s="48"/>
      <c r="F15" s="48"/>
      <c r="G15" s="48"/>
      <c r="H15" s="48"/>
      <c r="I15" s="48"/>
      <c r="J15" s="78"/>
      <c r="K15" s="73"/>
      <c r="L15" s="48"/>
      <c r="M15" s="48"/>
      <c r="N15" s="48"/>
      <c r="O15" s="48"/>
      <c r="P15" s="48"/>
      <c r="Q15" s="48"/>
      <c r="R15" s="79"/>
      <c r="S15" s="48"/>
      <c r="T15" s="73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14">
        <f t="shared" si="0"/>
        <v>0</v>
      </c>
      <c r="AI15" s="17"/>
    </row>
    <row r="16" spans="1:35">
      <c r="A16" s="18" t="s">
        <v>13</v>
      </c>
      <c r="B16" s="11"/>
      <c r="C16" s="13"/>
      <c r="D16" s="73"/>
      <c r="E16" s="48"/>
      <c r="F16" s="48"/>
      <c r="G16" s="48"/>
      <c r="H16" s="48"/>
      <c r="I16" s="48"/>
      <c r="J16" s="78"/>
      <c r="K16" s="73"/>
      <c r="L16" s="48"/>
      <c r="M16" s="48"/>
      <c r="N16" s="48"/>
      <c r="O16" s="48"/>
      <c r="P16" s="48"/>
      <c r="Q16" s="48"/>
      <c r="R16" s="79"/>
      <c r="S16" s="48"/>
      <c r="T16" s="73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14">
        <f>SUM(C16:AG16)</f>
        <v>0</v>
      </c>
      <c r="AI16" s="17"/>
    </row>
    <row r="17" spans="1:35">
      <c r="A17" s="18" t="s">
        <v>14</v>
      </c>
      <c r="B17" s="11"/>
      <c r="C17" s="13"/>
      <c r="D17" s="73"/>
      <c r="E17" s="48"/>
      <c r="F17" s="48"/>
      <c r="G17" s="48"/>
      <c r="H17" s="48"/>
      <c r="I17" s="48"/>
      <c r="J17" s="78"/>
      <c r="K17" s="73"/>
      <c r="L17" s="48"/>
      <c r="M17" s="48"/>
      <c r="N17" s="48"/>
      <c r="O17" s="48"/>
      <c r="P17" s="48"/>
      <c r="Q17" s="48"/>
      <c r="R17" s="79"/>
      <c r="S17" s="48"/>
      <c r="T17" s="73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14">
        <f>SUM(C17:AG17)</f>
        <v>0</v>
      </c>
      <c r="AI17" s="17"/>
    </row>
    <row r="18" spans="1:35">
      <c r="A18" s="15" t="s">
        <v>15</v>
      </c>
      <c r="B18" s="11"/>
      <c r="C18" s="13"/>
      <c r="D18" s="73"/>
      <c r="E18" s="48"/>
      <c r="F18" s="41"/>
      <c r="G18" s="50"/>
      <c r="H18" s="87"/>
      <c r="I18" s="41"/>
      <c r="J18" s="78"/>
      <c r="K18" s="73">
        <v>446208048</v>
      </c>
      <c r="L18" s="50"/>
      <c r="M18" s="87">
        <v>32872554</v>
      </c>
      <c r="N18" s="50"/>
      <c r="O18" s="48"/>
      <c r="P18" s="48"/>
      <c r="Q18" s="73"/>
      <c r="R18" s="79"/>
      <c r="S18" s="48"/>
      <c r="T18" s="73"/>
      <c r="U18" s="48"/>
      <c r="V18" s="48"/>
      <c r="W18" s="48"/>
      <c r="X18" s="87">
        <v>160308720</v>
      </c>
      <c r="Y18" s="87"/>
      <c r="Z18" s="48"/>
      <c r="AA18" s="48"/>
      <c r="AB18" s="73"/>
      <c r="AC18" s="48"/>
      <c r="AD18" s="48"/>
      <c r="AE18" s="73"/>
      <c r="AF18" s="48"/>
      <c r="AG18" s="48"/>
      <c r="AH18" s="14">
        <f t="shared" si="0"/>
        <v>639389322</v>
      </c>
      <c r="AI18" s="17"/>
    </row>
    <row r="19" spans="1:35">
      <c r="A19" s="15" t="s">
        <v>16</v>
      </c>
      <c r="B19" s="11"/>
      <c r="C19" s="102"/>
      <c r="D19" s="73">
        <v>125170352</v>
      </c>
      <c r="E19" s="50"/>
      <c r="F19" s="50"/>
      <c r="G19" s="94"/>
      <c r="H19" s="50"/>
      <c r="I19" s="50"/>
      <c r="J19" s="78"/>
      <c r="K19" s="102"/>
      <c r="L19" s="50"/>
      <c r="M19" s="50"/>
      <c r="N19" s="87"/>
      <c r="O19" s="50"/>
      <c r="P19" s="48"/>
      <c r="Q19" s="94"/>
      <c r="R19" s="88"/>
      <c r="S19" s="13"/>
      <c r="T19" s="73"/>
      <c r="U19" s="41"/>
      <c r="V19" s="94"/>
      <c r="W19" s="41"/>
      <c r="X19" s="73"/>
      <c r="Y19" s="73"/>
      <c r="Z19" s="48"/>
      <c r="AA19" s="41"/>
      <c r="AB19" s="41"/>
      <c r="AC19" s="48"/>
      <c r="AD19" s="41"/>
      <c r="AE19" s="41"/>
      <c r="AF19" s="48"/>
      <c r="AG19" s="48"/>
      <c r="AH19" s="14">
        <f>SUM(H19:AG19)</f>
        <v>0</v>
      </c>
      <c r="AI19" s="17"/>
    </row>
    <row r="20" spans="1:35">
      <c r="A20" s="15" t="s">
        <v>17</v>
      </c>
      <c r="B20" s="11"/>
      <c r="C20" s="13"/>
      <c r="D20" s="73"/>
      <c r="E20" s="48"/>
      <c r="F20" s="48"/>
      <c r="G20" s="50"/>
      <c r="H20" s="48"/>
      <c r="I20" s="48"/>
      <c r="J20" s="78"/>
      <c r="K20" s="73"/>
      <c r="L20" s="50"/>
      <c r="M20" s="50"/>
      <c r="N20" s="50"/>
      <c r="O20" s="48"/>
      <c r="P20" s="48"/>
      <c r="Q20" s="73"/>
      <c r="R20" s="79"/>
      <c r="S20" s="48"/>
      <c r="T20" s="73"/>
      <c r="U20" s="48"/>
      <c r="V20" s="48"/>
      <c r="W20" s="48"/>
      <c r="X20" s="48"/>
      <c r="Y20" s="48"/>
      <c r="Z20" s="48"/>
      <c r="AA20" s="48"/>
      <c r="AB20" s="48"/>
      <c r="AC20" s="48"/>
      <c r="AD20" s="86"/>
      <c r="AE20" s="48"/>
      <c r="AF20" s="48"/>
      <c r="AG20" s="48"/>
      <c r="AH20" s="14">
        <f t="shared" si="0"/>
        <v>0</v>
      </c>
      <c r="AI20" s="17"/>
    </row>
    <row r="21" spans="1:35">
      <c r="A21" s="15" t="s">
        <v>18</v>
      </c>
      <c r="B21" s="11"/>
      <c r="C21" s="13"/>
      <c r="D21" s="73"/>
      <c r="E21" s="48"/>
      <c r="F21" s="48"/>
      <c r="G21" s="48"/>
      <c r="H21" s="48"/>
      <c r="I21" s="48"/>
      <c r="J21" s="78"/>
      <c r="K21" s="73"/>
      <c r="L21" s="50"/>
      <c r="M21" s="48"/>
      <c r="N21" s="48"/>
      <c r="O21" s="48"/>
      <c r="P21" s="48"/>
      <c r="Q21" s="48"/>
      <c r="R21" s="79"/>
      <c r="S21" s="48"/>
      <c r="T21" s="73"/>
      <c r="U21" s="48"/>
      <c r="V21" s="48"/>
      <c r="W21" s="50"/>
      <c r="X21" s="48"/>
      <c r="Y21" s="48"/>
      <c r="Z21" s="48"/>
      <c r="AA21" s="48"/>
      <c r="AB21" s="48"/>
      <c r="AC21" s="48"/>
      <c r="AD21" s="86"/>
      <c r="AE21" s="48"/>
      <c r="AF21" s="48"/>
      <c r="AG21" s="48"/>
      <c r="AH21" s="14">
        <f t="shared" si="0"/>
        <v>0</v>
      </c>
      <c r="AI21" s="17"/>
    </row>
    <row r="22" spans="1:35" ht="15">
      <c r="A22" s="15" t="s">
        <v>19</v>
      </c>
      <c r="B22" s="11"/>
      <c r="C22" s="13"/>
      <c r="D22" s="73"/>
      <c r="E22" s="48"/>
      <c r="F22" s="50"/>
      <c r="G22" s="50"/>
      <c r="H22" s="48"/>
      <c r="I22" s="51"/>
      <c r="J22" s="78"/>
      <c r="K22" s="102"/>
      <c r="L22" s="50"/>
      <c r="M22" s="50"/>
      <c r="N22" s="50"/>
      <c r="O22" s="50"/>
      <c r="P22" s="48"/>
      <c r="Q22" s="50"/>
      <c r="R22" s="114"/>
      <c r="S22" s="73"/>
      <c r="T22" s="73"/>
      <c r="U22" s="48"/>
      <c r="V22" s="48"/>
      <c r="W22" s="48"/>
      <c r="X22" s="73"/>
      <c r="Y22" s="48"/>
      <c r="Z22" s="48"/>
      <c r="AA22" s="48"/>
      <c r="AB22" s="73"/>
      <c r="AC22" s="48"/>
      <c r="AD22" s="86"/>
      <c r="AE22" s="48"/>
      <c r="AF22" s="48"/>
      <c r="AG22" s="48"/>
      <c r="AH22" s="14">
        <f t="shared" si="0"/>
        <v>0</v>
      </c>
      <c r="AI22" s="17"/>
    </row>
    <row r="23" spans="1:35">
      <c r="A23" s="15" t="s">
        <v>20</v>
      </c>
      <c r="B23" s="11"/>
      <c r="C23" s="13"/>
      <c r="D23" s="73"/>
      <c r="E23" s="48"/>
      <c r="F23" s="48"/>
      <c r="G23" s="73"/>
      <c r="H23" s="48"/>
      <c r="I23" s="48"/>
      <c r="J23" s="78"/>
      <c r="K23" s="78"/>
      <c r="L23" s="41"/>
      <c r="M23" s="41"/>
      <c r="N23" s="48"/>
      <c r="O23" s="48"/>
      <c r="P23" s="41"/>
      <c r="Q23" s="41"/>
      <c r="R23" s="88"/>
      <c r="S23" s="41"/>
      <c r="T23" s="41"/>
      <c r="U23" s="73"/>
      <c r="V23" s="48"/>
      <c r="W23" s="41"/>
      <c r="X23" s="41"/>
      <c r="Y23" s="41"/>
      <c r="Z23" s="73">
        <v>162220793</v>
      </c>
      <c r="AA23" s="48"/>
      <c r="AB23" s="48"/>
      <c r="AC23" s="48"/>
      <c r="AD23" s="94">
        <f>98062785-4615048</f>
        <v>93447737</v>
      </c>
      <c r="AE23" s="48"/>
      <c r="AF23" s="48"/>
      <c r="AG23" s="48"/>
      <c r="AH23" s="14">
        <f t="shared" si="0"/>
        <v>255668530</v>
      </c>
      <c r="AI23" s="17"/>
    </row>
    <row r="24" spans="1:35" ht="12" customHeight="1">
      <c r="A24" s="15" t="s">
        <v>184</v>
      </c>
      <c r="B24" s="11"/>
      <c r="C24" s="13"/>
      <c r="D24" s="73"/>
      <c r="E24" s="48"/>
      <c r="F24" s="48"/>
      <c r="G24" s="73"/>
      <c r="H24" s="48"/>
      <c r="I24" s="48"/>
      <c r="J24" s="78"/>
      <c r="K24" s="78"/>
      <c r="L24" s="73"/>
      <c r="M24" s="73"/>
      <c r="N24" s="48"/>
      <c r="O24" s="48"/>
      <c r="P24" s="48"/>
      <c r="Q24" s="73"/>
      <c r="R24" s="79"/>
      <c r="S24" s="73"/>
      <c r="T24" s="73"/>
      <c r="U24" s="73"/>
      <c r="V24" s="48"/>
      <c r="W24" s="41"/>
      <c r="X24" s="41"/>
      <c r="Y24" s="65">
        <v>58291200</v>
      </c>
      <c r="Z24" s="41"/>
      <c r="AA24" s="73"/>
      <c r="AB24" s="73"/>
      <c r="AC24" s="73"/>
      <c r="AD24" s="87"/>
      <c r="AE24" s="73"/>
      <c r="AF24" s="48"/>
      <c r="AG24" s="73"/>
      <c r="AH24" s="14">
        <f t="shared" si="0"/>
        <v>58291200</v>
      </c>
      <c r="AI24" s="17">
        <f>390501249-392501249</f>
        <v>-2000000</v>
      </c>
    </row>
    <row r="25" spans="1:35" ht="12" customHeight="1">
      <c r="A25" s="15" t="s">
        <v>185</v>
      </c>
      <c r="B25" s="11"/>
      <c r="C25" s="13"/>
      <c r="D25" s="73"/>
      <c r="E25" s="48"/>
      <c r="F25" s="48"/>
      <c r="G25" s="73"/>
      <c r="H25" s="48"/>
      <c r="I25" s="48"/>
      <c r="J25" s="78"/>
      <c r="K25" s="78"/>
      <c r="L25" s="73"/>
      <c r="M25" s="73"/>
      <c r="N25" s="48"/>
      <c r="O25" s="48"/>
      <c r="P25" s="48"/>
      <c r="Q25" s="73"/>
      <c r="R25" s="79"/>
      <c r="S25" s="73"/>
      <c r="T25" s="73"/>
      <c r="U25" s="73"/>
      <c r="V25" s="48"/>
      <c r="W25" s="41"/>
      <c r="X25" s="41"/>
      <c r="Y25" s="41"/>
      <c r="Z25" s="65">
        <v>115671600</v>
      </c>
      <c r="AA25" s="73"/>
      <c r="AB25" s="73"/>
      <c r="AC25" s="73"/>
      <c r="AD25" s="87"/>
      <c r="AE25" s="73"/>
      <c r="AF25" s="48"/>
      <c r="AG25" s="73"/>
      <c r="AH25" s="14"/>
      <c r="AI25" s="17"/>
    </row>
    <row r="26" spans="1:35" ht="12" customHeight="1">
      <c r="A26" s="15" t="s">
        <v>186</v>
      </c>
      <c r="B26" s="11"/>
      <c r="C26" s="13"/>
      <c r="D26" s="73"/>
      <c r="E26" s="48"/>
      <c r="F26" s="48"/>
      <c r="G26" s="73"/>
      <c r="H26" s="48"/>
      <c r="I26" s="48"/>
      <c r="J26" s="78"/>
      <c r="K26" s="78"/>
      <c r="L26" s="73"/>
      <c r="M26" s="73"/>
      <c r="N26" s="48"/>
      <c r="O26" s="48"/>
      <c r="P26" s="48"/>
      <c r="Q26" s="73"/>
      <c r="R26" s="79"/>
      <c r="S26" s="73"/>
      <c r="T26" s="73"/>
      <c r="U26" s="73"/>
      <c r="V26" s="48"/>
      <c r="W26" s="41"/>
      <c r="X26" s="41"/>
      <c r="Y26" s="41"/>
      <c r="Z26" s="41"/>
      <c r="AA26" s="65">
        <v>112129600</v>
      </c>
      <c r="AB26" s="73"/>
      <c r="AC26" s="73"/>
      <c r="AD26" s="87"/>
      <c r="AE26" s="73"/>
      <c r="AF26" s="48"/>
      <c r="AG26" s="73"/>
      <c r="AH26" s="14"/>
      <c r="AI26" s="17"/>
    </row>
    <row r="27" spans="1:35">
      <c r="A27" s="15" t="s">
        <v>163</v>
      </c>
      <c r="B27" s="11"/>
      <c r="C27" s="13"/>
      <c r="D27" s="73"/>
      <c r="E27" s="73"/>
      <c r="F27" s="48"/>
      <c r="G27" s="73"/>
      <c r="H27" s="48"/>
      <c r="I27" s="48"/>
      <c r="J27" s="78"/>
      <c r="K27" s="78"/>
      <c r="L27" s="73"/>
      <c r="M27" s="48"/>
      <c r="N27" s="87"/>
      <c r="O27" s="48"/>
      <c r="P27" s="73">
        <v>124030922</v>
      </c>
      <c r="Q27" s="73">
        <f>144853632-139302507</f>
        <v>5551125</v>
      </c>
      <c r="R27" s="84"/>
      <c r="S27" s="48"/>
      <c r="T27" s="73"/>
      <c r="U27" s="48"/>
      <c r="V27" s="48"/>
      <c r="W27" s="73">
        <f>65184134-1993015</f>
        <v>63191119</v>
      </c>
      <c r="X27" s="48"/>
      <c r="Y27" s="73"/>
      <c r="Z27" s="48"/>
      <c r="AA27" s="48"/>
      <c r="AB27" s="73"/>
      <c r="AC27" s="48"/>
      <c r="AD27" s="86"/>
      <c r="AE27" s="48"/>
      <c r="AF27" s="87"/>
      <c r="AG27" s="48"/>
      <c r="AH27" s="14">
        <f>SUM(C27:AG27)</f>
        <v>192773166</v>
      </c>
    </row>
    <row r="28" spans="1:35">
      <c r="A28" s="15" t="s">
        <v>21</v>
      </c>
      <c r="B28" s="11"/>
      <c r="C28" s="13"/>
      <c r="D28" s="73"/>
      <c r="E28" s="48"/>
      <c r="F28" s="48"/>
      <c r="G28" s="48"/>
      <c r="H28" s="48"/>
      <c r="I28" s="48"/>
      <c r="J28" s="78"/>
      <c r="K28" s="78"/>
      <c r="L28" s="41"/>
      <c r="M28" s="41"/>
      <c r="N28" s="48"/>
      <c r="O28" s="48"/>
      <c r="P28" s="41"/>
      <c r="Q28" s="41"/>
      <c r="R28" s="84">
        <f>114987063-26519066</f>
        <v>88467997</v>
      </c>
      <c r="S28" s="48"/>
      <c r="T28" s="73"/>
      <c r="U28" s="73"/>
      <c r="V28" s="48"/>
      <c r="W28" s="48"/>
      <c r="X28" s="73"/>
      <c r="Y28" s="48"/>
      <c r="Z28" s="73">
        <f>32204314+18164405+28830434</f>
        <v>79199153</v>
      </c>
      <c r="AA28" s="73"/>
      <c r="AB28" s="48"/>
      <c r="AC28" s="48"/>
      <c r="AD28" s="94">
        <v>105847929</v>
      </c>
      <c r="AE28" s="48"/>
      <c r="AF28" s="48"/>
      <c r="AG28" s="48"/>
      <c r="AH28" s="14">
        <f t="shared" si="0"/>
        <v>273515079</v>
      </c>
      <c r="AI28" s="17"/>
    </row>
    <row r="29" spans="1:35">
      <c r="A29" s="15" t="s">
        <v>22</v>
      </c>
      <c r="B29" s="11"/>
      <c r="C29" s="13"/>
      <c r="D29" s="73"/>
      <c r="E29" s="48"/>
      <c r="F29" s="48"/>
      <c r="G29" s="48"/>
      <c r="H29" s="48"/>
      <c r="I29" s="48"/>
      <c r="J29" s="78"/>
      <c r="K29" s="78"/>
      <c r="L29" s="73"/>
      <c r="M29" s="48"/>
      <c r="N29" s="48"/>
      <c r="O29" s="48"/>
      <c r="P29" s="48"/>
      <c r="Q29" s="48"/>
      <c r="R29" s="79"/>
      <c r="S29" s="48"/>
      <c r="T29" s="73"/>
      <c r="U29" s="48"/>
      <c r="V29" s="48"/>
      <c r="W29" s="48"/>
      <c r="X29" s="48"/>
      <c r="Y29" s="48"/>
      <c r="Z29" s="48"/>
      <c r="AA29" s="48"/>
      <c r="AB29" s="48"/>
      <c r="AC29" s="48"/>
      <c r="AD29" s="86"/>
      <c r="AE29" s="48"/>
      <c r="AF29" s="48"/>
      <c r="AG29" s="48"/>
      <c r="AH29" s="14">
        <f t="shared" si="0"/>
        <v>0</v>
      </c>
      <c r="AI29" s="17"/>
    </row>
    <row r="30" spans="1:35">
      <c r="A30" s="15" t="s">
        <v>193</v>
      </c>
      <c r="B30" s="119"/>
      <c r="C30" s="13"/>
      <c r="D30" s="73"/>
      <c r="E30" s="48"/>
      <c r="F30" s="50"/>
      <c r="G30" s="73"/>
      <c r="H30" s="48"/>
      <c r="I30" s="48"/>
      <c r="J30" s="78"/>
      <c r="K30" s="78"/>
      <c r="L30" s="73"/>
      <c r="M30" s="48"/>
      <c r="N30" s="48"/>
      <c r="O30" s="41"/>
      <c r="P30" s="41"/>
      <c r="Q30" s="41"/>
      <c r="R30" s="88"/>
      <c r="S30" s="41"/>
      <c r="T30" s="41"/>
      <c r="U30" s="73"/>
      <c r="V30" s="48"/>
      <c r="W30" s="41"/>
      <c r="X30" s="41"/>
      <c r="Y30" s="41"/>
      <c r="Z30" s="41"/>
      <c r="AA30" s="41"/>
      <c r="AB30" s="50"/>
      <c r="AC30" s="48"/>
      <c r="AD30" s="41"/>
      <c r="AE30" s="41"/>
      <c r="AF30" s="65">
        <v>237000000</v>
      </c>
      <c r="AG30" s="48"/>
      <c r="AH30" s="14"/>
      <c r="AI30" s="17"/>
    </row>
    <row r="31" spans="1:35">
      <c r="A31" s="15" t="s">
        <v>194</v>
      </c>
      <c r="B31" s="119"/>
      <c r="C31" s="13"/>
      <c r="D31" s="73"/>
      <c r="E31" s="48"/>
      <c r="F31" s="50"/>
      <c r="G31" s="73"/>
      <c r="H31" s="48"/>
      <c r="I31" s="48"/>
      <c r="J31" s="78"/>
      <c r="K31" s="78"/>
      <c r="L31" s="73"/>
      <c r="M31" s="48"/>
      <c r="N31" s="48"/>
      <c r="O31" s="41"/>
      <c r="P31" s="41"/>
      <c r="Q31" s="41"/>
      <c r="R31" s="88"/>
      <c r="S31" s="41"/>
      <c r="T31" s="41"/>
      <c r="U31" s="73"/>
      <c r="V31" s="48"/>
      <c r="W31" s="41"/>
      <c r="X31" s="41"/>
      <c r="Y31" s="41"/>
      <c r="Z31" s="41"/>
      <c r="AA31" s="41"/>
      <c r="AB31" s="50"/>
      <c r="AC31" s="48"/>
      <c r="AD31" s="41"/>
      <c r="AE31" s="41"/>
      <c r="AF31" s="90">
        <v>296293200</v>
      </c>
      <c r="AG31" s="48"/>
      <c r="AH31" s="14">
        <f t="shared" si="0"/>
        <v>296293200</v>
      </c>
      <c r="AI31" s="17"/>
    </row>
    <row r="32" spans="1:35">
      <c r="A32" s="15" t="s">
        <v>192</v>
      </c>
      <c r="B32" s="119"/>
      <c r="C32" s="13"/>
      <c r="D32" s="73"/>
      <c r="E32" s="48"/>
      <c r="F32" s="50"/>
      <c r="G32" s="73"/>
      <c r="H32" s="48"/>
      <c r="I32" s="48"/>
      <c r="J32" s="78"/>
      <c r="K32" s="78"/>
      <c r="L32" s="73"/>
      <c r="M32" s="48"/>
      <c r="N32" s="48"/>
      <c r="O32" s="41"/>
      <c r="P32" s="41"/>
      <c r="Q32" s="41"/>
      <c r="R32" s="88"/>
      <c r="S32" s="41"/>
      <c r="T32" s="41"/>
      <c r="U32" s="73"/>
      <c r="V32" s="48"/>
      <c r="W32" s="41"/>
      <c r="X32" s="41"/>
      <c r="Y32" s="41"/>
      <c r="Z32" s="41"/>
      <c r="AA32" s="41"/>
      <c r="AB32" s="50"/>
      <c r="AC32" s="48"/>
      <c r="AD32" s="41"/>
      <c r="AE32" s="41"/>
      <c r="AF32" s="90">
        <v>296293200</v>
      </c>
      <c r="AG32" s="48"/>
      <c r="AH32" s="14"/>
      <c r="AI32" s="17"/>
    </row>
    <row r="33" spans="1:37">
      <c r="A33" s="15" t="s">
        <v>141</v>
      </c>
      <c r="B33" s="119"/>
      <c r="C33" s="78"/>
      <c r="D33" s="78"/>
      <c r="E33" s="41"/>
      <c r="F33" s="41"/>
      <c r="G33" s="41"/>
      <c r="H33" s="41"/>
      <c r="I33" s="41"/>
      <c r="J33" s="78"/>
      <c r="K33" s="78"/>
      <c r="L33" s="41"/>
      <c r="M33" s="41"/>
      <c r="N33" s="41"/>
      <c r="O33" s="65"/>
      <c r="P33" s="41"/>
      <c r="Q33" s="41"/>
      <c r="R33" s="8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124">
        <f>22869000+5717250</f>
        <v>28586250</v>
      </c>
      <c r="AG33" s="73"/>
      <c r="AH33" s="14">
        <f>SUM(G33:AG33)</f>
        <v>28586250</v>
      </c>
      <c r="AI33" s="17"/>
      <c r="AJ33" s="33">
        <v>245437500</v>
      </c>
      <c r="AK33" s="44">
        <v>44137</v>
      </c>
    </row>
    <row r="34" spans="1:37">
      <c r="A34" s="15" t="s">
        <v>142</v>
      </c>
      <c r="B34" s="119"/>
      <c r="C34" s="78"/>
      <c r="D34" s="78"/>
      <c r="E34" s="41"/>
      <c r="F34" s="41"/>
      <c r="G34" s="41"/>
      <c r="H34" s="41"/>
      <c r="I34" s="41"/>
      <c r="J34" s="78"/>
      <c r="K34" s="78"/>
      <c r="L34" s="41"/>
      <c r="M34" s="41"/>
      <c r="N34" s="41"/>
      <c r="O34" s="65"/>
      <c r="P34" s="41"/>
      <c r="Q34" s="41"/>
      <c r="R34" s="8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90">
        <v>45738000</v>
      </c>
      <c r="AG34" s="41"/>
      <c r="AH34" s="14"/>
      <c r="AI34" s="17"/>
      <c r="AJ34" s="82"/>
      <c r="AK34" s="44"/>
    </row>
    <row r="35" spans="1:37">
      <c r="A35" s="15" t="s">
        <v>143</v>
      </c>
      <c r="B35" s="119"/>
      <c r="C35" s="78"/>
      <c r="D35" s="78"/>
      <c r="E35" s="41"/>
      <c r="F35" s="41"/>
      <c r="G35" s="41"/>
      <c r="H35" s="41"/>
      <c r="I35" s="41"/>
      <c r="J35" s="78"/>
      <c r="K35" s="78"/>
      <c r="L35" s="41"/>
      <c r="M35" s="41"/>
      <c r="N35" s="41"/>
      <c r="O35" s="65"/>
      <c r="P35" s="41"/>
      <c r="Q35" s="41"/>
      <c r="R35" s="8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90">
        <v>17151750</v>
      </c>
      <c r="AG35" s="41"/>
      <c r="AH35" s="14"/>
      <c r="AI35" s="17"/>
      <c r="AJ35" s="82"/>
      <c r="AK35" s="44"/>
    </row>
    <row r="36" spans="1:37">
      <c r="A36" s="15" t="s">
        <v>144</v>
      </c>
      <c r="B36" s="119"/>
      <c r="C36" s="78"/>
      <c r="D36" s="78"/>
      <c r="E36" s="41"/>
      <c r="F36" s="41"/>
      <c r="G36" s="41"/>
      <c r="H36" s="41"/>
      <c r="I36" s="41"/>
      <c r="J36" s="78"/>
      <c r="K36" s="78"/>
      <c r="L36" s="41"/>
      <c r="M36" s="41"/>
      <c r="N36" s="41"/>
      <c r="O36" s="65"/>
      <c r="P36" s="41"/>
      <c r="Q36" s="41"/>
      <c r="R36" s="8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90">
        <v>102910500</v>
      </c>
      <c r="AG36" s="41"/>
      <c r="AH36" s="14"/>
      <c r="AI36" s="17"/>
      <c r="AJ36" s="82"/>
      <c r="AK36" s="44"/>
    </row>
    <row r="37" spans="1:37">
      <c r="A37" s="15" t="s">
        <v>173</v>
      </c>
      <c r="B37" s="119"/>
      <c r="C37" s="78"/>
      <c r="D37" s="78"/>
      <c r="E37" s="41"/>
      <c r="F37" s="41"/>
      <c r="G37" s="41"/>
      <c r="H37" s="41"/>
      <c r="I37" s="41"/>
      <c r="J37" s="78"/>
      <c r="K37" s="78"/>
      <c r="L37" s="41"/>
      <c r="M37" s="41"/>
      <c r="N37" s="41"/>
      <c r="O37" s="65"/>
      <c r="P37" s="41"/>
      <c r="Q37" s="41"/>
      <c r="R37" s="8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90">
        <v>26145900</v>
      </c>
      <c r="AG37" s="41"/>
      <c r="AH37" s="14"/>
      <c r="AI37" s="17"/>
      <c r="AJ37" s="82"/>
      <c r="AK37" s="44"/>
    </row>
    <row r="38" spans="1:37">
      <c r="A38" s="15" t="s">
        <v>174</v>
      </c>
      <c r="B38" s="119"/>
      <c r="C38" s="78"/>
      <c r="D38" s="78"/>
      <c r="E38" s="41"/>
      <c r="F38" s="41"/>
      <c r="G38" s="41"/>
      <c r="H38" s="41"/>
      <c r="I38" s="41"/>
      <c r="J38" s="78"/>
      <c r="K38" s="78"/>
      <c r="L38" s="41"/>
      <c r="M38" s="41"/>
      <c r="N38" s="41"/>
      <c r="O38" s="65"/>
      <c r="P38" s="41"/>
      <c r="Q38" s="41"/>
      <c r="R38" s="8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90">
        <v>121810590</v>
      </c>
      <c r="AG38" s="41"/>
      <c r="AH38" s="14"/>
      <c r="AI38" s="17"/>
      <c r="AJ38" s="82"/>
      <c r="AK38" s="44"/>
    </row>
    <row r="39" spans="1:37">
      <c r="A39" s="15" t="s">
        <v>187</v>
      </c>
      <c r="B39" s="119"/>
      <c r="C39" s="78"/>
      <c r="D39" s="78"/>
      <c r="E39" s="41"/>
      <c r="F39" s="41"/>
      <c r="G39" s="41"/>
      <c r="H39" s="41"/>
      <c r="I39" s="41"/>
      <c r="J39" s="78"/>
      <c r="K39" s="78"/>
      <c r="L39" s="41"/>
      <c r="M39" s="41"/>
      <c r="N39" s="41"/>
      <c r="O39" s="65"/>
      <c r="P39" s="41"/>
      <c r="Q39" s="41"/>
      <c r="R39" s="88"/>
      <c r="S39" s="41"/>
      <c r="T39" s="41"/>
      <c r="U39" s="41"/>
      <c r="V39" s="41"/>
      <c r="W39" s="41"/>
      <c r="X39" s="41"/>
      <c r="Y39" s="41"/>
      <c r="Z39" s="65">
        <v>229759798</v>
      </c>
      <c r="AA39" s="41"/>
      <c r="AB39" s="41"/>
      <c r="AC39" s="41"/>
      <c r="AD39" s="41"/>
      <c r="AE39" s="41"/>
      <c r="AF39" s="41"/>
      <c r="AG39" s="41"/>
      <c r="AH39" s="14"/>
      <c r="AI39" s="17"/>
      <c r="AJ39" s="82"/>
      <c r="AK39" s="44"/>
    </row>
    <row r="40" spans="1:37">
      <c r="A40" s="15" t="s">
        <v>188</v>
      </c>
      <c r="B40" s="119"/>
      <c r="C40" s="78"/>
      <c r="D40" s="78"/>
      <c r="E40" s="41"/>
      <c r="F40" s="41"/>
      <c r="G40" s="41"/>
      <c r="H40" s="41"/>
      <c r="I40" s="41"/>
      <c r="J40" s="78"/>
      <c r="K40" s="78"/>
      <c r="L40" s="41"/>
      <c r="M40" s="41"/>
      <c r="N40" s="41"/>
      <c r="O40" s="65"/>
      <c r="P40" s="41"/>
      <c r="Q40" s="41"/>
      <c r="R40" s="8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90">
        <v>119200015</v>
      </c>
      <c r="AG40" s="41"/>
      <c r="AH40" s="14"/>
      <c r="AI40" s="17"/>
      <c r="AJ40" s="82"/>
      <c r="AK40" s="44"/>
    </row>
    <row r="41" spans="1:37">
      <c r="A41" s="15" t="s">
        <v>149</v>
      </c>
      <c r="B41" s="119"/>
      <c r="C41" s="78"/>
      <c r="D41" s="78"/>
      <c r="E41" s="41"/>
      <c r="F41" s="41"/>
      <c r="G41" s="41"/>
      <c r="H41" s="41"/>
      <c r="I41" s="41"/>
      <c r="J41" s="78"/>
      <c r="K41" s="78"/>
      <c r="L41" s="41"/>
      <c r="M41" s="41"/>
      <c r="N41" s="41"/>
      <c r="O41" s="65"/>
      <c r="P41" s="41"/>
      <c r="Q41" s="41"/>
      <c r="R41" s="8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90">
        <v>498757907</v>
      </c>
      <c r="AG41" s="41"/>
      <c r="AH41" s="14"/>
      <c r="AI41" s="17"/>
      <c r="AJ41" s="82"/>
      <c r="AK41" s="44"/>
    </row>
    <row r="42" spans="1:37">
      <c r="A42" s="15" t="s">
        <v>150</v>
      </c>
      <c r="B42" s="119"/>
      <c r="C42" s="78"/>
      <c r="D42" s="78"/>
      <c r="E42" s="41"/>
      <c r="F42" s="41"/>
      <c r="G42" s="41"/>
      <c r="H42" s="41"/>
      <c r="I42" s="41"/>
      <c r="J42" s="78"/>
      <c r="K42" s="78"/>
      <c r="L42" s="41"/>
      <c r="M42" s="41"/>
      <c r="N42" s="41"/>
      <c r="O42" s="65"/>
      <c r="P42" s="41"/>
      <c r="Q42" s="41"/>
      <c r="R42" s="8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90">
        <v>329400040</v>
      </c>
      <c r="AG42" s="41"/>
      <c r="AH42" s="14"/>
      <c r="AI42" s="17"/>
      <c r="AJ42" s="82"/>
      <c r="AK42" s="44"/>
    </row>
    <row r="43" spans="1:37">
      <c r="A43" s="15" t="s">
        <v>24</v>
      </c>
      <c r="B43" s="119"/>
      <c r="C43" s="78"/>
      <c r="D43" s="41"/>
      <c r="E43" s="41"/>
      <c r="F43" s="48"/>
      <c r="G43" s="50"/>
      <c r="H43" s="73"/>
      <c r="I43" s="48"/>
      <c r="J43" s="78"/>
      <c r="K43" s="78"/>
      <c r="L43" s="78"/>
      <c r="M43" s="50"/>
      <c r="N43" s="41"/>
      <c r="O43" s="102"/>
      <c r="P43" s="48"/>
      <c r="Q43" s="41"/>
      <c r="R43" s="103"/>
      <c r="S43" s="41"/>
      <c r="T43" s="50"/>
      <c r="U43" s="50"/>
      <c r="V43" s="41"/>
      <c r="W43" s="50"/>
      <c r="X43" s="41"/>
      <c r="Y43" s="41"/>
      <c r="Z43" s="41"/>
      <c r="AA43" s="41"/>
      <c r="AB43" s="41"/>
      <c r="AC43" s="41"/>
      <c r="AD43" s="87">
        <f>13125525-4246234</f>
        <v>8879291</v>
      </c>
      <c r="AE43" s="41"/>
      <c r="AF43" s="86"/>
      <c r="AG43" s="41"/>
      <c r="AH43" s="14">
        <f>SUM(E43:AF43)</f>
        <v>8879291</v>
      </c>
      <c r="AI43" s="17"/>
    </row>
    <row r="44" spans="1:37">
      <c r="A44" s="15" t="s">
        <v>152</v>
      </c>
      <c r="B44" s="119"/>
      <c r="C44" s="78"/>
      <c r="D44" s="78"/>
      <c r="E44" s="41"/>
      <c r="F44" s="41"/>
      <c r="G44" s="41"/>
      <c r="H44" s="41"/>
      <c r="I44" s="41"/>
      <c r="J44" s="78"/>
      <c r="K44" s="78"/>
      <c r="L44" s="41"/>
      <c r="M44" s="41"/>
      <c r="N44" s="41"/>
      <c r="O44" s="41"/>
      <c r="P44" s="41"/>
      <c r="Q44" s="41"/>
      <c r="R44" s="88"/>
      <c r="S44" s="41"/>
      <c r="T44" s="41"/>
      <c r="U44" s="50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112">
        <f>260475823+149127822+130965627+20619588</f>
        <v>561188860</v>
      </c>
      <c r="AG44" s="41"/>
      <c r="AH44" s="14">
        <f>SUM(N44:AF44)</f>
        <v>561188860</v>
      </c>
      <c r="AI44" s="17"/>
      <c r="AJ44" s="48">
        <v>127684117</v>
      </c>
    </row>
    <row r="45" spans="1:37">
      <c r="A45" s="15" t="s">
        <v>180</v>
      </c>
      <c r="B45" s="119"/>
      <c r="C45" s="78"/>
      <c r="D45" s="78"/>
      <c r="E45" s="41"/>
      <c r="F45" s="41"/>
      <c r="G45" s="41"/>
      <c r="H45" s="41"/>
      <c r="I45" s="41"/>
      <c r="J45" s="78"/>
      <c r="K45" s="78"/>
      <c r="L45" s="41"/>
      <c r="M45" s="41"/>
      <c r="N45" s="41"/>
      <c r="O45" s="41"/>
      <c r="P45" s="41"/>
      <c r="Q45" s="41"/>
      <c r="R45" s="88"/>
      <c r="S45" s="41"/>
      <c r="T45" s="13">
        <v>829295573</v>
      </c>
      <c r="U45" s="50"/>
      <c r="V45" s="41"/>
      <c r="W45" s="41"/>
      <c r="X45" s="41"/>
      <c r="Y45" s="41"/>
      <c r="Z45" s="41"/>
      <c r="AA45" s="50"/>
      <c r="AB45" s="41"/>
      <c r="AC45" s="41"/>
      <c r="AD45" s="41"/>
      <c r="AE45" s="41"/>
      <c r="AF45" s="48"/>
      <c r="AG45" s="41"/>
      <c r="AH45" s="14"/>
      <c r="AI45" s="17"/>
      <c r="AJ45" s="106"/>
    </row>
    <row r="46" spans="1:37">
      <c r="A46" s="15" t="s">
        <v>158</v>
      </c>
      <c r="B46" s="119"/>
      <c r="C46" s="78"/>
      <c r="D46" s="78"/>
      <c r="E46" s="41"/>
      <c r="F46" s="41"/>
      <c r="G46" s="41"/>
      <c r="H46" s="48"/>
      <c r="I46" s="41"/>
      <c r="J46" s="78"/>
      <c r="K46" s="78"/>
      <c r="L46" s="41"/>
      <c r="M46" s="41"/>
      <c r="N46" s="73"/>
      <c r="O46" s="48"/>
      <c r="P46" s="41"/>
      <c r="Q46" s="41"/>
      <c r="R46" s="8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8">
        <v>61003007</v>
      </c>
      <c r="AG46" s="41"/>
      <c r="AH46" s="14"/>
      <c r="AI46" s="17"/>
    </row>
    <row r="47" spans="1:37">
      <c r="A47" s="15" t="s">
        <v>159</v>
      </c>
      <c r="B47" s="119"/>
      <c r="C47" s="78"/>
      <c r="D47" s="78"/>
      <c r="E47" s="41"/>
      <c r="F47" s="41"/>
      <c r="G47" s="41"/>
      <c r="H47" s="48"/>
      <c r="I47" s="41"/>
      <c r="J47" s="78"/>
      <c r="K47" s="78"/>
      <c r="L47" s="41"/>
      <c r="M47" s="41"/>
      <c r="N47" s="73"/>
      <c r="O47" s="48"/>
      <c r="P47" s="41"/>
      <c r="Q47" s="41"/>
      <c r="R47" s="8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8">
        <v>127319117</v>
      </c>
      <c r="AG47" s="41"/>
      <c r="AH47" s="14"/>
      <c r="AI47" s="17"/>
    </row>
    <row r="48" spans="1:37">
      <c r="A48" s="15" t="s">
        <v>160</v>
      </c>
      <c r="B48" s="119"/>
      <c r="C48" s="78"/>
      <c r="D48" s="78"/>
      <c r="E48" s="41"/>
      <c r="F48" s="41"/>
      <c r="G48" s="41"/>
      <c r="H48" s="48"/>
      <c r="I48" s="41"/>
      <c r="J48" s="78"/>
      <c r="K48" s="78"/>
      <c r="L48" s="41"/>
      <c r="M48" s="41"/>
      <c r="N48" s="73"/>
      <c r="O48" s="48"/>
      <c r="P48" s="41"/>
      <c r="Q48" s="41"/>
      <c r="R48" s="8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8">
        <v>12869993</v>
      </c>
      <c r="AG48" s="41"/>
      <c r="AH48" s="14"/>
      <c r="AI48" s="17"/>
    </row>
    <row r="49" spans="1:35">
      <c r="A49" s="15" t="s">
        <v>161</v>
      </c>
      <c r="B49" s="119"/>
      <c r="C49" s="78"/>
      <c r="D49" s="78"/>
      <c r="E49" s="41"/>
      <c r="F49" s="41"/>
      <c r="G49" s="41"/>
      <c r="H49" s="48"/>
      <c r="I49" s="41"/>
      <c r="J49" s="78"/>
      <c r="K49" s="78"/>
      <c r="L49" s="41"/>
      <c r="M49" s="41"/>
      <c r="N49" s="73"/>
      <c r="O49" s="48"/>
      <c r="P49" s="41"/>
      <c r="Q49" s="41"/>
      <c r="R49" s="8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8">
        <v>149745116</v>
      </c>
      <c r="AG49" s="41"/>
      <c r="AH49" s="14"/>
      <c r="AI49" s="17"/>
    </row>
    <row r="50" spans="1:35">
      <c r="A50" s="15" t="s">
        <v>177</v>
      </c>
      <c r="B50" s="119"/>
      <c r="C50" s="78"/>
      <c r="D50" s="78"/>
      <c r="E50" s="41"/>
      <c r="F50" s="41"/>
      <c r="G50" s="41"/>
      <c r="H50" s="48"/>
      <c r="I50" s="41"/>
      <c r="J50" s="78"/>
      <c r="K50" s="78"/>
      <c r="L50" s="41"/>
      <c r="M50" s="41"/>
      <c r="N50" s="73"/>
      <c r="O50" s="48"/>
      <c r="P50" s="41"/>
      <c r="Q50" s="41"/>
      <c r="R50" s="8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8">
        <v>16444991</v>
      </c>
      <c r="AG50" s="41"/>
      <c r="AH50" s="14"/>
      <c r="AI50" s="17"/>
    </row>
    <row r="51" spans="1:35">
      <c r="A51" s="15" t="s">
        <v>178</v>
      </c>
      <c r="B51" s="119"/>
      <c r="C51" s="78"/>
      <c r="D51" s="78"/>
      <c r="E51" s="41"/>
      <c r="F51" s="41"/>
      <c r="G51" s="41"/>
      <c r="H51" s="48"/>
      <c r="I51" s="41"/>
      <c r="J51" s="78"/>
      <c r="K51" s="78"/>
      <c r="L51" s="41"/>
      <c r="M51" s="41"/>
      <c r="N51" s="73"/>
      <c r="O51" s="48"/>
      <c r="P51" s="41"/>
      <c r="Q51" s="41"/>
      <c r="R51" s="8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8">
        <v>3574998</v>
      </c>
      <c r="AG51" s="41"/>
      <c r="AH51" s="14"/>
      <c r="AI51" s="17"/>
    </row>
    <row r="52" spans="1:35">
      <c r="A52" s="15" t="s">
        <v>179</v>
      </c>
      <c r="B52" s="119"/>
      <c r="C52" s="78"/>
      <c r="D52" s="78"/>
      <c r="E52" s="41"/>
      <c r="F52" s="41"/>
      <c r="G52" s="41"/>
      <c r="H52" s="48"/>
      <c r="I52" s="41"/>
      <c r="J52" s="78"/>
      <c r="K52" s="78"/>
      <c r="L52" s="41"/>
      <c r="M52" s="41"/>
      <c r="N52" s="73"/>
      <c r="O52" s="48"/>
      <c r="P52" s="41"/>
      <c r="Q52" s="41"/>
      <c r="R52" s="8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8">
        <v>10724994</v>
      </c>
      <c r="AG52" s="41"/>
      <c r="AH52" s="14"/>
      <c r="AI52" s="17"/>
    </row>
    <row r="53" spans="1:35">
      <c r="A53" s="15" t="s">
        <v>118</v>
      </c>
      <c r="B53" s="119"/>
      <c r="C53" s="13"/>
      <c r="D53" s="41"/>
      <c r="E53" s="73">
        <v>64033200</v>
      </c>
      <c r="F53" s="42"/>
      <c r="G53" s="73"/>
      <c r="H53" s="48"/>
      <c r="I53" s="73">
        <v>66727536</v>
      </c>
      <c r="J53" s="78"/>
      <c r="K53" s="78"/>
      <c r="L53" s="73"/>
      <c r="M53" s="48"/>
      <c r="N53" s="48"/>
      <c r="O53" s="73"/>
      <c r="P53" s="73"/>
      <c r="Q53" s="48"/>
      <c r="R53" s="116">
        <v>128959866</v>
      </c>
      <c r="S53" s="73">
        <v>31938984</v>
      </c>
      <c r="T53" s="73"/>
      <c r="U53" s="41"/>
      <c r="V53" s="48"/>
      <c r="W53" s="48"/>
      <c r="X53" s="73"/>
      <c r="Y53" s="42">
        <v>128298366</v>
      </c>
      <c r="Z53" s="73">
        <v>64425690</v>
      </c>
      <c r="AA53" s="41"/>
      <c r="AB53" s="73"/>
      <c r="AC53" s="48"/>
      <c r="AD53" s="41"/>
      <c r="AE53" s="41"/>
      <c r="AF53" s="48"/>
      <c r="AG53" s="41"/>
      <c r="AH53" s="14"/>
      <c r="AI53" s="17"/>
    </row>
    <row r="54" spans="1:35" ht="15">
      <c r="A54" s="15" t="s">
        <v>27</v>
      </c>
      <c r="B54" s="119"/>
      <c r="C54" s="13"/>
      <c r="D54" s="41"/>
      <c r="E54" s="13"/>
      <c r="F54" s="48"/>
      <c r="G54" s="48"/>
      <c r="H54" s="51"/>
      <c r="I54" s="51"/>
      <c r="J54" s="78"/>
      <c r="K54" s="78"/>
      <c r="L54" s="73"/>
      <c r="M54" s="48"/>
      <c r="N54" s="48"/>
      <c r="O54" s="48"/>
      <c r="P54" s="48"/>
      <c r="Q54" s="73"/>
      <c r="R54" s="88"/>
      <c r="S54" s="48"/>
      <c r="T54" s="48"/>
      <c r="U54" s="41"/>
      <c r="V54" s="48"/>
      <c r="W54" s="48"/>
      <c r="X54" s="73"/>
      <c r="Y54" s="41"/>
      <c r="Z54" s="48"/>
      <c r="AA54" s="41"/>
      <c r="AB54" s="73"/>
      <c r="AC54" s="48"/>
      <c r="AD54" s="73">
        <v>75555000</v>
      </c>
      <c r="AE54" s="41"/>
      <c r="AF54" s="48"/>
      <c r="AG54" s="48"/>
      <c r="AH54" s="14">
        <f>SUM(C54:AG54)</f>
        <v>75555000</v>
      </c>
      <c r="AI54" s="17"/>
    </row>
    <row r="55" spans="1:35">
      <c r="A55" s="15" t="s">
        <v>165</v>
      </c>
      <c r="B55" s="119"/>
      <c r="C55" s="78"/>
      <c r="D55" s="78"/>
      <c r="E55" s="41"/>
      <c r="F55" s="41"/>
      <c r="G55" s="13"/>
      <c r="H55" s="41"/>
      <c r="I55" s="41"/>
      <c r="J55" s="78"/>
      <c r="K55" s="78"/>
      <c r="L55" s="41"/>
      <c r="M55" s="41"/>
      <c r="N55" s="73"/>
      <c r="O55" s="48"/>
      <c r="P55" s="41"/>
      <c r="Q55" s="41"/>
      <c r="R55" s="88"/>
      <c r="S55" s="41"/>
      <c r="T55" s="41"/>
      <c r="U55" s="41"/>
      <c r="V55" s="48"/>
      <c r="W55" s="41"/>
      <c r="X55" s="41"/>
      <c r="Y55" s="41"/>
      <c r="Z55" s="41"/>
      <c r="AA55" s="41"/>
      <c r="AB55" s="41"/>
      <c r="AC55" s="48"/>
      <c r="AD55" s="41"/>
      <c r="AE55" s="41"/>
      <c r="AF55" s="16">
        <v>29350500</v>
      </c>
      <c r="AG55" s="48"/>
      <c r="AH55" s="14"/>
      <c r="AI55" s="17"/>
    </row>
    <row r="56" spans="1:35">
      <c r="A56" s="15" t="s">
        <v>182</v>
      </c>
      <c r="B56" s="119"/>
      <c r="C56" s="78"/>
      <c r="D56" s="78"/>
      <c r="E56" s="41"/>
      <c r="F56" s="41"/>
      <c r="G56" s="13"/>
      <c r="H56" s="41"/>
      <c r="I56" s="41"/>
      <c r="J56" s="78"/>
      <c r="K56" s="78"/>
      <c r="L56" s="41"/>
      <c r="M56" s="41"/>
      <c r="N56" s="73"/>
      <c r="O56" s="48"/>
      <c r="P56" s="41"/>
      <c r="Q56" s="41"/>
      <c r="R56" s="88"/>
      <c r="S56" s="41"/>
      <c r="T56" s="41"/>
      <c r="U56" s="41"/>
      <c r="V56" s="48"/>
      <c r="W56" s="41"/>
      <c r="X56" s="41"/>
      <c r="Y56" s="41"/>
      <c r="Z56" s="41"/>
      <c r="AA56" s="41"/>
      <c r="AB56" s="41"/>
      <c r="AC56" s="48"/>
      <c r="AD56" s="41"/>
      <c r="AE56" s="41"/>
      <c r="AF56" s="48">
        <v>7220000</v>
      </c>
      <c r="AG56" s="48"/>
      <c r="AH56" s="14"/>
      <c r="AI56" s="17"/>
    </row>
    <row r="57" spans="1:35">
      <c r="A57" s="15" t="s">
        <v>183</v>
      </c>
      <c r="B57" s="119"/>
      <c r="C57" s="78"/>
      <c r="D57" s="78"/>
      <c r="E57" s="41"/>
      <c r="F57" s="41"/>
      <c r="G57" s="13"/>
      <c r="H57" s="41"/>
      <c r="I57" s="41"/>
      <c r="J57" s="78"/>
      <c r="K57" s="78"/>
      <c r="L57" s="41"/>
      <c r="N57" s="123"/>
      <c r="O57" s="92"/>
      <c r="P57" s="41"/>
      <c r="Q57" s="41"/>
      <c r="R57" s="88"/>
      <c r="S57" s="41"/>
      <c r="T57" s="41"/>
      <c r="U57" s="41"/>
      <c r="V57" s="48"/>
      <c r="W57" s="41"/>
      <c r="X57" s="41"/>
      <c r="Y57" s="41"/>
      <c r="Z57" s="41"/>
      <c r="AA57" s="41"/>
      <c r="AB57" s="41"/>
      <c r="AC57" s="48"/>
      <c r="AD57" s="41"/>
      <c r="AE57" s="41"/>
      <c r="AF57" s="48">
        <v>501000000</v>
      </c>
      <c r="AG57" s="48"/>
      <c r="AH57" s="14"/>
      <c r="AI57" s="17"/>
    </row>
    <row r="58" spans="1:35" ht="15">
      <c r="A58" s="15" t="s">
        <v>114</v>
      </c>
      <c r="B58" s="119"/>
      <c r="C58" s="13"/>
      <c r="D58" s="41"/>
      <c r="E58" s="48"/>
      <c r="F58" s="48"/>
      <c r="G58" s="48"/>
      <c r="H58" s="51"/>
      <c r="I58" s="51"/>
      <c r="J58" s="78"/>
      <c r="K58" s="78"/>
      <c r="L58" s="73"/>
      <c r="M58" s="73"/>
      <c r="N58" s="73"/>
      <c r="O58" s="48"/>
      <c r="P58" s="41"/>
      <c r="Q58" s="41"/>
      <c r="R58" s="88"/>
      <c r="S58" s="41"/>
      <c r="T58" s="41"/>
      <c r="U58" s="48"/>
      <c r="V58" s="48"/>
      <c r="W58" s="41"/>
      <c r="X58" s="41"/>
      <c r="Y58" s="41"/>
      <c r="Z58" s="41"/>
      <c r="AA58" s="41"/>
      <c r="AB58" s="73"/>
      <c r="AC58" s="48"/>
      <c r="AD58" s="41"/>
      <c r="AE58" s="41"/>
      <c r="AF58" s="48">
        <v>487796500</v>
      </c>
      <c r="AG58" s="48"/>
      <c r="AH58" s="14"/>
      <c r="AI58" s="17"/>
    </row>
    <row r="59" spans="1:35" ht="15">
      <c r="A59" s="15" t="s">
        <v>195</v>
      </c>
      <c r="B59" s="119"/>
      <c r="C59" s="13"/>
      <c r="D59" s="41"/>
      <c r="E59" s="48"/>
      <c r="F59" s="48"/>
      <c r="G59" s="48"/>
      <c r="H59" s="51"/>
      <c r="I59" s="51"/>
      <c r="J59" s="78"/>
      <c r="K59" s="78"/>
      <c r="L59" s="73"/>
      <c r="M59" s="73"/>
      <c r="N59" s="73"/>
      <c r="O59" s="48"/>
      <c r="P59" s="41"/>
      <c r="Q59" s="41"/>
      <c r="R59" s="88"/>
      <c r="S59" s="41"/>
      <c r="T59" s="41"/>
      <c r="U59" s="48"/>
      <c r="V59" s="48"/>
      <c r="W59" s="41"/>
      <c r="X59" s="41"/>
      <c r="Y59" s="41"/>
      <c r="Z59" s="41"/>
      <c r="AA59" s="41"/>
      <c r="AB59" s="50"/>
      <c r="AC59" s="50"/>
      <c r="AD59" s="73">
        <v>167000000</v>
      </c>
      <c r="AE59" s="41"/>
      <c r="AF59" s="50"/>
      <c r="AG59" s="73"/>
      <c r="AH59" s="14"/>
      <c r="AI59" s="17"/>
    </row>
    <row r="60" spans="1:35" ht="15">
      <c r="A60" s="15" t="s">
        <v>196</v>
      </c>
      <c r="B60" s="119"/>
      <c r="C60" s="13"/>
      <c r="D60" s="41"/>
      <c r="E60" s="48"/>
      <c r="F60" s="48"/>
      <c r="G60" s="48"/>
      <c r="H60" s="51"/>
      <c r="I60" s="51"/>
      <c r="J60" s="78"/>
      <c r="K60" s="78"/>
      <c r="L60" s="73"/>
      <c r="M60" s="73"/>
      <c r="N60" s="73"/>
      <c r="O60" s="48"/>
      <c r="P60" s="41"/>
      <c r="Q60" s="41"/>
      <c r="R60" s="88"/>
      <c r="S60" s="41"/>
      <c r="T60" s="41"/>
      <c r="U60" s="48"/>
      <c r="V60" s="48"/>
      <c r="W60" s="41"/>
      <c r="X60" s="41"/>
      <c r="Y60" s="41"/>
      <c r="Z60" s="41"/>
      <c r="AA60" s="41"/>
      <c r="AB60" s="50"/>
      <c r="AC60" s="50"/>
      <c r="AD60" s="41"/>
      <c r="AE60" s="41"/>
      <c r="AF60" s="48">
        <v>83500000</v>
      </c>
      <c r="AG60" s="73"/>
      <c r="AH60" s="14"/>
      <c r="AI60" s="17"/>
    </row>
    <row r="61" spans="1:35" ht="15">
      <c r="A61" s="15" t="s">
        <v>197</v>
      </c>
      <c r="B61" s="119"/>
      <c r="C61" s="13"/>
      <c r="D61" s="41"/>
      <c r="E61" s="48"/>
      <c r="F61" s="48"/>
      <c r="G61" s="48"/>
      <c r="H61" s="51"/>
      <c r="I61" s="51"/>
      <c r="J61" s="78"/>
      <c r="K61" s="78"/>
      <c r="L61" s="73"/>
      <c r="M61" s="73"/>
      <c r="N61" s="73"/>
      <c r="O61" s="48"/>
      <c r="P61" s="41"/>
      <c r="Q61" s="41"/>
      <c r="R61" s="88"/>
      <c r="S61" s="41"/>
      <c r="T61" s="41"/>
      <c r="U61" s="48"/>
      <c r="V61" s="48"/>
      <c r="W61" s="41"/>
      <c r="X61" s="41"/>
      <c r="Y61" s="41"/>
      <c r="Z61" s="41"/>
      <c r="AA61" s="41"/>
      <c r="AB61" s="50"/>
      <c r="AC61" s="50"/>
      <c r="AD61" s="41"/>
      <c r="AE61" s="41"/>
      <c r="AF61" s="48">
        <v>83500000</v>
      </c>
      <c r="AG61" s="73"/>
      <c r="AH61" s="14"/>
      <c r="AI61" s="17"/>
    </row>
    <row r="62" spans="1:35">
      <c r="A62" s="15" t="s">
        <v>28</v>
      </c>
      <c r="B62" s="119"/>
      <c r="C62" s="13"/>
      <c r="D62" s="73"/>
      <c r="E62" s="48"/>
      <c r="F62" s="48"/>
      <c r="G62" s="48"/>
      <c r="H62" s="48"/>
      <c r="I62" s="48"/>
      <c r="J62" s="73"/>
      <c r="K62" s="73"/>
      <c r="L62" s="48"/>
      <c r="M62" s="48"/>
      <c r="N62" s="48"/>
      <c r="O62" s="48"/>
      <c r="P62" s="48"/>
      <c r="Q62" s="48"/>
      <c r="R62" s="79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1"/>
      <c r="AF62" s="48"/>
      <c r="AG62" s="48"/>
      <c r="AH62" s="14">
        <f>SUM(C62:AG62)</f>
        <v>0</v>
      </c>
      <c r="AI62" s="17"/>
    </row>
    <row r="63" spans="1:35">
      <c r="A63" s="15" t="s">
        <v>29</v>
      </c>
      <c r="B63" s="119"/>
      <c r="C63" s="13"/>
      <c r="D63" s="73"/>
      <c r="E63" s="48"/>
      <c r="F63" s="48"/>
      <c r="G63" s="48"/>
      <c r="H63" s="48"/>
      <c r="I63" s="48"/>
      <c r="J63" s="73"/>
      <c r="K63" s="73"/>
      <c r="L63" s="48"/>
      <c r="M63" s="48"/>
      <c r="N63" s="48"/>
      <c r="O63" s="48"/>
      <c r="P63" s="48"/>
      <c r="Q63" s="48"/>
      <c r="R63" s="79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1"/>
      <c r="AF63" s="48"/>
      <c r="AG63" s="48"/>
      <c r="AH63" s="14">
        <f>SUM(C63:AG63)</f>
        <v>0</v>
      </c>
      <c r="AI63" s="17"/>
    </row>
    <row r="64" spans="1:35">
      <c r="A64" s="15" t="s">
        <v>30</v>
      </c>
      <c r="B64" s="119"/>
      <c r="C64" s="13"/>
      <c r="D64" s="73"/>
      <c r="E64" s="48"/>
      <c r="F64" s="48"/>
      <c r="G64" s="48"/>
      <c r="H64" s="48"/>
      <c r="I64" s="48"/>
      <c r="J64" s="73"/>
      <c r="K64" s="73"/>
      <c r="L64" s="48"/>
      <c r="M64" s="48"/>
      <c r="N64" s="48"/>
      <c r="O64" s="48"/>
      <c r="P64" s="48"/>
      <c r="Q64" s="48"/>
      <c r="R64" s="79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1"/>
      <c r="AF64" s="48"/>
      <c r="AG64" s="48"/>
      <c r="AH64" s="14">
        <f>SUM(C64:AG64)</f>
        <v>0</v>
      </c>
      <c r="AI64" s="17"/>
    </row>
    <row r="65" spans="1:35">
      <c r="A65" s="15" t="s">
        <v>31</v>
      </c>
      <c r="B65" s="119"/>
      <c r="C65" s="13"/>
      <c r="D65" s="73"/>
      <c r="E65" s="48"/>
      <c r="F65" s="48"/>
      <c r="G65" s="48"/>
      <c r="H65" s="48"/>
      <c r="I65" s="48"/>
      <c r="J65" s="73"/>
      <c r="K65" s="73"/>
      <c r="L65" s="48"/>
      <c r="M65" s="48"/>
      <c r="N65" s="48"/>
      <c r="O65" s="48"/>
      <c r="P65" s="48"/>
      <c r="Q65" s="48"/>
      <c r="R65" s="79"/>
      <c r="S65" s="48"/>
      <c r="T65" s="48"/>
      <c r="U65" s="73"/>
      <c r="V65" s="48"/>
      <c r="W65" s="48"/>
      <c r="X65" s="73"/>
      <c r="Y65" s="73"/>
      <c r="Z65" s="48"/>
      <c r="AA65" s="73"/>
      <c r="AB65" s="48"/>
      <c r="AC65" s="48"/>
      <c r="AD65" s="48"/>
      <c r="AE65" s="41"/>
      <c r="AF65" s="48"/>
      <c r="AG65" s="48"/>
      <c r="AH65" s="14">
        <f>SUM(C65:AG65)</f>
        <v>0</v>
      </c>
      <c r="AI65" s="17"/>
    </row>
    <row r="66" spans="1:35">
      <c r="A66" s="32" t="s">
        <v>46</v>
      </c>
      <c r="B66" s="119"/>
      <c r="C66" s="13"/>
      <c r="D66" s="13">
        <v>200000000</v>
      </c>
      <c r="E66" s="73">
        <v>298014347</v>
      </c>
      <c r="F66" s="73">
        <v>350000000</v>
      </c>
      <c r="G66" s="73"/>
      <c r="H66" s="48"/>
      <c r="I66" s="73">
        <v>500000000</v>
      </c>
      <c r="J66" s="94"/>
      <c r="K66" s="94">
        <f>200000000</f>
        <v>200000000</v>
      </c>
      <c r="L66" s="87">
        <v>223859353</v>
      </c>
      <c r="M66" s="73">
        <f>200000000+28570641</f>
        <v>228570641</v>
      </c>
      <c r="N66" s="73"/>
      <c r="O66" s="48"/>
      <c r="P66" s="73">
        <f>13087000+35893000+16171415</f>
        <v>65151415</v>
      </c>
      <c r="Q66" s="73">
        <v>11445167</v>
      </c>
      <c r="R66" s="84">
        <v>9273754</v>
      </c>
      <c r="S66" s="73"/>
      <c r="T66" s="73"/>
      <c r="U66" s="73"/>
      <c r="V66" s="48"/>
      <c r="W66" s="48"/>
      <c r="X66" s="73">
        <f>1500000000+3451781</f>
        <v>1503451781</v>
      </c>
      <c r="Y66" s="73">
        <v>10711102</v>
      </c>
      <c r="Z66" s="73">
        <v>20135139</v>
      </c>
      <c r="AA66" s="73">
        <v>16319627</v>
      </c>
      <c r="AB66" s="94"/>
      <c r="AC66" s="48"/>
      <c r="AD66" s="42">
        <v>20348797</v>
      </c>
      <c r="AE66" s="73">
        <f>17070000</f>
        <v>17070000</v>
      </c>
      <c r="AF66" s="73">
        <v>350000000</v>
      </c>
      <c r="AG66" s="48"/>
      <c r="AH66" s="14">
        <f>SUM(C66:AG66)</f>
        <v>4024351123</v>
      </c>
      <c r="AI66" s="17"/>
    </row>
    <row r="67" spans="1:35">
      <c r="A67" s="32" t="s">
        <v>47</v>
      </c>
      <c r="B67" s="119"/>
      <c r="C67" s="94"/>
      <c r="D67" s="94">
        <f>110923682+78967554</f>
        <v>189891236</v>
      </c>
      <c r="E67" s="50"/>
      <c r="F67" s="13"/>
      <c r="G67" s="87"/>
      <c r="H67" s="48"/>
      <c r="I67" s="73">
        <v>5972500</v>
      </c>
      <c r="J67" s="73">
        <v>22653514</v>
      </c>
      <c r="K67" s="73">
        <v>6369370</v>
      </c>
      <c r="L67" s="73">
        <v>15126927</v>
      </c>
      <c r="M67" s="73">
        <v>106297880</v>
      </c>
      <c r="N67" s="73"/>
      <c r="O67" s="48"/>
      <c r="P67" s="73">
        <f>310944619+3300000</f>
        <v>314244619</v>
      </c>
      <c r="Q67" s="41"/>
      <c r="R67" s="79"/>
      <c r="S67" s="73"/>
      <c r="T67" s="73"/>
      <c r="U67" s="42"/>
      <c r="V67" s="48"/>
      <c r="W67" s="48"/>
      <c r="X67" s="73">
        <v>28848553</v>
      </c>
      <c r="Y67" s="73"/>
      <c r="Z67" s="48"/>
      <c r="AA67" s="73"/>
      <c r="AB67" s="41"/>
      <c r="AC67" s="73"/>
      <c r="AD67" s="73">
        <f>35000000+1000000000</f>
        <v>1035000000</v>
      </c>
      <c r="AE67" s="73">
        <f>2602579+12246343</f>
        <v>14848922</v>
      </c>
      <c r="AF67" s="73"/>
      <c r="AG67" s="48"/>
      <c r="AH67" s="14">
        <f>SUM(F67:AG67)</f>
        <v>1549362285</v>
      </c>
      <c r="AI67" s="17"/>
    </row>
    <row r="68" spans="1:35">
      <c r="A68" s="32" t="s">
        <v>119</v>
      </c>
      <c r="B68" s="111"/>
      <c r="C68" s="78"/>
      <c r="D68" s="78"/>
      <c r="E68" s="41"/>
      <c r="F68" s="41"/>
      <c r="G68" s="41"/>
      <c r="H68" s="48"/>
      <c r="I68" s="41"/>
      <c r="J68" s="78"/>
      <c r="K68" s="78"/>
      <c r="L68" s="41"/>
      <c r="N68" s="73"/>
      <c r="O68" s="48"/>
      <c r="P68" s="41"/>
      <c r="Q68" s="41"/>
      <c r="R68" s="88"/>
      <c r="S68" s="41"/>
      <c r="T68" s="41"/>
      <c r="U68" s="41"/>
      <c r="V68" s="48"/>
      <c r="W68" s="41"/>
      <c r="X68" s="41"/>
      <c r="Y68" s="41"/>
      <c r="Z68" s="41"/>
      <c r="AA68" s="41"/>
      <c r="AB68" s="41"/>
      <c r="AC68" s="41"/>
      <c r="AD68" s="41"/>
      <c r="AE68" s="41"/>
      <c r="AF68" s="48">
        <f>3500000000</f>
        <v>3500000000</v>
      </c>
      <c r="AG68" s="41"/>
      <c r="AH68" s="14"/>
      <c r="AI68" s="17"/>
    </row>
    <row r="69" spans="1:35">
      <c r="A69" s="19" t="s">
        <v>32</v>
      </c>
      <c r="B69" s="20"/>
      <c r="C69" s="66">
        <f t="shared" ref="C69:AH69" si="1">SUM(C7:C68)</f>
        <v>0</v>
      </c>
      <c r="D69" s="66">
        <f t="shared" si="1"/>
        <v>1351508628</v>
      </c>
      <c r="E69" s="66">
        <f t="shared" si="1"/>
        <v>362047547</v>
      </c>
      <c r="F69" s="66">
        <f t="shared" si="1"/>
        <v>350000000</v>
      </c>
      <c r="G69" s="66">
        <f t="shared" si="1"/>
        <v>0</v>
      </c>
      <c r="H69" s="66">
        <f t="shared" si="1"/>
        <v>0</v>
      </c>
      <c r="I69" s="66">
        <f t="shared" si="1"/>
        <v>607700036</v>
      </c>
      <c r="J69" s="66">
        <f t="shared" si="1"/>
        <v>634699234</v>
      </c>
      <c r="K69" s="66">
        <f t="shared" si="1"/>
        <v>652577418</v>
      </c>
      <c r="L69" s="66">
        <f t="shared" si="1"/>
        <v>238986280</v>
      </c>
      <c r="M69" s="66">
        <f t="shared" si="1"/>
        <v>367741075</v>
      </c>
      <c r="N69" s="66">
        <f t="shared" si="1"/>
        <v>0</v>
      </c>
      <c r="O69" s="66">
        <f t="shared" si="1"/>
        <v>0</v>
      </c>
      <c r="P69" s="66">
        <f t="shared" si="1"/>
        <v>503426956</v>
      </c>
      <c r="Q69" s="66">
        <f t="shared" si="1"/>
        <v>16996292</v>
      </c>
      <c r="R69" s="66">
        <f t="shared" si="1"/>
        <v>226701617</v>
      </c>
      <c r="S69" s="66">
        <f t="shared" si="1"/>
        <v>78801497</v>
      </c>
      <c r="T69" s="66">
        <f t="shared" si="1"/>
        <v>829295573</v>
      </c>
      <c r="U69" s="66">
        <f t="shared" si="1"/>
        <v>0</v>
      </c>
      <c r="V69" s="66">
        <f t="shared" si="1"/>
        <v>0</v>
      </c>
      <c r="W69" s="66">
        <f t="shared" si="1"/>
        <v>63191119</v>
      </c>
      <c r="X69" s="66">
        <f t="shared" si="1"/>
        <v>1821180354</v>
      </c>
      <c r="Y69" s="66">
        <f t="shared" si="1"/>
        <v>197300668</v>
      </c>
      <c r="Z69" s="66">
        <f t="shared" si="1"/>
        <v>671412173</v>
      </c>
      <c r="AA69" s="66">
        <f t="shared" si="1"/>
        <v>130453217</v>
      </c>
      <c r="AB69" s="66">
        <f t="shared" si="1"/>
        <v>0</v>
      </c>
      <c r="AC69" s="66">
        <f t="shared" si="1"/>
        <v>0</v>
      </c>
      <c r="AD69" s="66">
        <f t="shared" si="1"/>
        <v>1506078754</v>
      </c>
      <c r="AE69" s="66">
        <f>SUM(AE7:AE68)</f>
        <v>31918922</v>
      </c>
      <c r="AF69" s="66">
        <f>SUM(AF7:AF68)</f>
        <v>8221021184</v>
      </c>
      <c r="AG69" s="66">
        <f t="shared" si="1"/>
        <v>0</v>
      </c>
      <c r="AH69" s="21">
        <f t="shared" si="1"/>
        <v>9659783869</v>
      </c>
    </row>
    <row r="70" spans="1:35">
      <c r="A70" s="22"/>
      <c r="B70" s="11"/>
      <c r="C70" s="67"/>
      <c r="D70" s="67"/>
      <c r="E70" s="12"/>
      <c r="F70" s="12"/>
      <c r="G70" s="12"/>
      <c r="H70" s="12"/>
      <c r="I70" s="12"/>
      <c r="J70" s="67"/>
      <c r="K70" s="67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2"/>
      <c r="AD70" s="12"/>
      <c r="AE70" s="12"/>
      <c r="AF70" s="12"/>
      <c r="AG70" s="12"/>
      <c r="AH70" s="23"/>
      <c r="AI70" s="6"/>
    </row>
    <row r="71" spans="1:35">
      <c r="A71" s="24" t="s">
        <v>33</v>
      </c>
      <c r="B71" s="11"/>
      <c r="C71" s="67"/>
      <c r="D71" s="67"/>
      <c r="E71" s="12"/>
      <c r="F71" s="12"/>
      <c r="G71" s="12"/>
      <c r="H71" s="12"/>
      <c r="I71" s="12"/>
      <c r="J71" s="67"/>
      <c r="K71" s="67"/>
      <c r="L71" s="12"/>
      <c r="M71" s="12"/>
      <c r="N71" s="12"/>
      <c r="O71" s="12"/>
      <c r="P71" s="12"/>
      <c r="Q71" s="12"/>
      <c r="R71" s="12"/>
      <c r="S71" s="12"/>
      <c r="T71" s="12"/>
      <c r="U71" s="109"/>
      <c r="V71" s="12"/>
      <c r="W71" s="12"/>
      <c r="X71" s="12"/>
      <c r="Y71" s="12"/>
      <c r="Z71" s="12"/>
      <c r="AA71" s="67"/>
      <c r="AB71" s="67"/>
      <c r="AC71" s="12"/>
      <c r="AD71" s="12"/>
      <c r="AE71" s="12"/>
      <c r="AF71" s="12"/>
      <c r="AG71" s="12"/>
      <c r="AH71" s="23"/>
      <c r="AI71" s="6"/>
    </row>
    <row r="72" spans="1:35">
      <c r="A72" s="25" t="s">
        <v>34</v>
      </c>
      <c r="B72" s="26">
        <v>0</v>
      </c>
      <c r="C72" s="67"/>
      <c r="D72" s="67"/>
      <c r="E72" s="26"/>
      <c r="F72" s="26"/>
      <c r="G72" s="26"/>
      <c r="H72" s="26"/>
      <c r="I72" s="67">
        <v>735099072</v>
      </c>
      <c r="J72" s="67"/>
      <c r="K72" s="67">
        <v>940707000</v>
      </c>
      <c r="L72" s="26"/>
      <c r="M72" s="67"/>
      <c r="N72" s="67"/>
      <c r="O72" s="26"/>
      <c r="P72" s="67"/>
      <c r="Q72" s="67"/>
      <c r="R72" s="67"/>
      <c r="S72" s="67"/>
      <c r="T72" s="67"/>
      <c r="U72" s="53"/>
      <c r="V72" s="26"/>
      <c r="W72" s="26"/>
      <c r="X72" s="67"/>
      <c r="Y72" s="26"/>
      <c r="Z72" s="67"/>
      <c r="AA72" s="67"/>
      <c r="AB72" s="67"/>
      <c r="AC72" s="26"/>
      <c r="AD72" s="26"/>
      <c r="AE72" s="67"/>
      <c r="AF72" s="67"/>
      <c r="AG72" s="26"/>
      <c r="AH72" s="23">
        <f t="shared" ref="AH72:AH80" si="2">SUM(C72:AG72)</f>
        <v>1675806072</v>
      </c>
      <c r="AI72" s="17"/>
    </row>
    <row r="73" spans="1:35">
      <c r="A73" s="25" t="s">
        <v>35</v>
      </c>
      <c r="B73" s="26">
        <v>0</v>
      </c>
      <c r="C73" s="13"/>
      <c r="D73" s="13"/>
      <c r="E73" s="67">
        <v>1854516074</v>
      </c>
      <c r="F73" s="67"/>
      <c r="G73" s="67"/>
      <c r="H73" s="13"/>
      <c r="I73" s="67"/>
      <c r="J73" s="13">
        <v>3044379759</v>
      </c>
      <c r="K73" s="13"/>
      <c r="L73" s="67"/>
      <c r="M73" s="67">
        <v>4363756766</v>
      </c>
      <c r="N73" s="67"/>
      <c r="O73" s="67"/>
      <c r="P73" s="67">
        <v>2362706703</v>
      </c>
      <c r="Q73" s="42">
        <v>1762016912</v>
      </c>
      <c r="R73" s="68"/>
      <c r="S73" s="67"/>
      <c r="T73" s="67"/>
      <c r="U73" s="110"/>
      <c r="V73" s="67"/>
      <c r="W73" s="26"/>
      <c r="X73" s="67">
        <v>3870556039</v>
      </c>
      <c r="Y73" s="67"/>
      <c r="Z73" s="67">
        <v>2930860747</v>
      </c>
      <c r="AA73" s="67">
        <v>2225403661</v>
      </c>
      <c r="AB73" s="13"/>
      <c r="AC73" s="26"/>
      <c r="AD73" s="42">
        <v>2792860393</v>
      </c>
      <c r="AE73" s="67">
        <v>1616086330</v>
      </c>
      <c r="AF73" s="67"/>
      <c r="AG73" s="26"/>
      <c r="AH73" s="23">
        <f t="shared" si="2"/>
        <v>26823143384</v>
      </c>
      <c r="AI73" s="17"/>
    </row>
    <row r="74" spans="1:35">
      <c r="A74" s="25" t="s">
        <v>140</v>
      </c>
      <c r="B74" s="26">
        <v>0</v>
      </c>
      <c r="C74" s="67"/>
      <c r="D74" s="68"/>
      <c r="E74" s="26"/>
      <c r="F74" s="67">
        <v>2629375224</v>
      </c>
      <c r="G74" s="67"/>
      <c r="H74" s="26"/>
      <c r="I74" s="26"/>
      <c r="J74" s="67"/>
      <c r="K74" s="67"/>
      <c r="L74" s="67">
        <v>2327219544</v>
      </c>
      <c r="M74" s="67"/>
      <c r="N74" s="67"/>
      <c r="O74" s="26"/>
      <c r="P74" s="26"/>
      <c r="Q74" s="67"/>
      <c r="R74" s="67">
        <v>1324822023</v>
      </c>
      <c r="S74" s="67"/>
      <c r="T74" s="67"/>
      <c r="U74" s="69"/>
      <c r="V74" s="26"/>
      <c r="W74" s="26"/>
      <c r="X74" s="67">
        <v>445391062</v>
      </c>
      <c r="Y74" s="42">
        <v>1477393351</v>
      </c>
      <c r="Z74" s="67"/>
      <c r="AA74" s="67"/>
      <c r="AB74" s="67"/>
      <c r="AC74" s="26"/>
      <c r="AD74" s="26"/>
      <c r="AE74" s="67">
        <v>335816636</v>
      </c>
      <c r="AF74" s="67"/>
      <c r="AG74" s="26"/>
      <c r="AH74" s="23">
        <f t="shared" si="2"/>
        <v>8540017840</v>
      </c>
      <c r="AI74" s="17"/>
    </row>
    <row r="75" spans="1:35">
      <c r="A75" s="11" t="s">
        <v>53</v>
      </c>
      <c r="B75" s="26">
        <v>0</v>
      </c>
      <c r="C75" s="67"/>
      <c r="D75" s="65"/>
      <c r="E75" s="67"/>
      <c r="F75" s="67"/>
      <c r="G75" s="67"/>
      <c r="H75" s="67"/>
      <c r="I75" s="26"/>
      <c r="J75" s="67"/>
      <c r="K75" s="67"/>
      <c r="L75" s="75"/>
      <c r="M75" s="67"/>
      <c r="N75" s="65"/>
      <c r="O75" s="41"/>
      <c r="P75" s="42">
        <v>780043542</v>
      </c>
      <c r="Q75" s="67">
        <v>925877698</v>
      </c>
      <c r="R75" s="67">
        <v>897424569</v>
      </c>
      <c r="S75" s="67">
        <v>1743114320</v>
      </c>
      <c r="T75" s="42">
        <v>1690911297</v>
      </c>
      <c r="U75" s="116"/>
      <c r="V75" s="41"/>
      <c r="W75" s="67">
        <v>1054136827</v>
      </c>
      <c r="X75" s="42"/>
      <c r="Y75" s="67">
        <v>1428742148</v>
      </c>
      <c r="Z75" s="67">
        <v>905622008</v>
      </c>
      <c r="AA75" s="67">
        <v>918166260</v>
      </c>
      <c r="AB75" s="13"/>
      <c r="AC75" s="26"/>
      <c r="AD75" s="67">
        <v>801871071</v>
      </c>
      <c r="AE75" s="67"/>
      <c r="AF75" s="67"/>
      <c r="AG75" s="67"/>
      <c r="AH75" s="23">
        <f t="shared" si="2"/>
        <v>11145909740</v>
      </c>
      <c r="AI75" s="17"/>
    </row>
    <row r="76" spans="1:35">
      <c r="A76" s="11" t="s">
        <v>54</v>
      </c>
      <c r="B76" s="26"/>
      <c r="C76" s="67"/>
      <c r="D76" s="68"/>
      <c r="E76" s="41"/>
      <c r="F76" s="67"/>
      <c r="G76" s="67"/>
      <c r="H76" s="26"/>
      <c r="I76" s="26"/>
      <c r="J76" s="67"/>
      <c r="K76" s="67"/>
      <c r="L76" s="75"/>
      <c r="M76" s="67"/>
      <c r="N76" s="67"/>
      <c r="O76" s="26"/>
      <c r="P76" s="42">
        <v>883921345</v>
      </c>
      <c r="Q76" s="67"/>
      <c r="R76" s="67"/>
      <c r="S76" s="67">
        <v>509371965</v>
      </c>
      <c r="T76" s="67"/>
      <c r="U76" s="69"/>
      <c r="V76" s="41"/>
      <c r="W76" s="65">
        <v>1057744752</v>
      </c>
      <c r="X76" s="41"/>
      <c r="Y76" s="67">
        <v>2248703831</v>
      </c>
      <c r="Z76" s="65"/>
      <c r="AA76" s="67"/>
      <c r="AB76" s="67"/>
      <c r="AC76" s="26"/>
      <c r="AD76" s="67"/>
      <c r="AE76" s="67"/>
      <c r="AF76" s="67"/>
      <c r="AG76" s="26"/>
      <c r="AH76" s="23">
        <f t="shared" si="2"/>
        <v>4699741893</v>
      </c>
      <c r="AI76" s="17">
        <v>1</v>
      </c>
    </row>
    <row r="77" spans="1:35">
      <c r="A77" s="11" t="s">
        <v>37</v>
      </c>
      <c r="B77" s="26">
        <v>0</v>
      </c>
      <c r="C77" s="65"/>
      <c r="D77" s="65">
        <v>519712497</v>
      </c>
      <c r="F77" s="13">
        <v>1093055777</v>
      </c>
      <c r="G77" s="72"/>
      <c r="H77" s="67"/>
      <c r="I77" s="41"/>
      <c r="J77" s="67">
        <v>1273099087</v>
      </c>
      <c r="K77" s="67">
        <v>836765382</v>
      </c>
      <c r="L77" s="75">
        <v>357377081</v>
      </c>
      <c r="M77" s="67">
        <v>834348852</v>
      </c>
      <c r="N77" s="67"/>
      <c r="O77" s="68"/>
      <c r="P77" s="42">
        <v>165085505</v>
      </c>
      <c r="Q77" s="67"/>
      <c r="R77" s="67"/>
      <c r="S77" s="26"/>
      <c r="T77" s="67"/>
      <c r="U77" s="6"/>
      <c r="V77" s="41"/>
      <c r="W77" s="67"/>
      <c r="X77" s="42"/>
      <c r="Y77" s="65"/>
      <c r="Z77" s="67"/>
      <c r="AA77" s="67"/>
      <c r="AB77" s="94"/>
      <c r="AC77" s="67"/>
      <c r="AD77" s="67"/>
      <c r="AF77" s="26">
        <v>334802917</v>
      </c>
      <c r="AG77" s="67"/>
      <c r="AH77" s="23">
        <f>SUM(C77:AG77)</f>
        <v>5414247098</v>
      </c>
      <c r="AI77" s="17"/>
    </row>
    <row r="78" spans="1:35">
      <c r="A78" s="11" t="s">
        <v>38</v>
      </c>
      <c r="B78" s="26">
        <v>0</v>
      </c>
      <c r="C78" s="68"/>
      <c r="D78" s="68"/>
      <c r="E78" s="61"/>
      <c r="F78" s="67"/>
      <c r="G78" s="67"/>
      <c r="H78" s="26"/>
      <c r="I78" s="26"/>
      <c r="J78" s="67">
        <v>930696886</v>
      </c>
      <c r="K78" s="65">
        <v>617718613</v>
      </c>
      <c r="L78" s="75"/>
      <c r="M78" s="67">
        <v>901255749</v>
      </c>
      <c r="N78" s="78"/>
      <c r="O78" s="65"/>
      <c r="P78" s="68"/>
      <c r="Q78" s="78"/>
      <c r="R78" s="42"/>
      <c r="S78" s="26"/>
      <c r="T78" s="41"/>
      <c r="U78" s="68"/>
      <c r="V78" s="41"/>
      <c r="W78" s="65"/>
      <c r="X78" s="41"/>
      <c r="Y78" s="65"/>
      <c r="Z78" s="78"/>
      <c r="AA78" s="67"/>
      <c r="AB78" s="94"/>
      <c r="AC78" s="67"/>
      <c r="AD78" s="67"/>
      <c r="AE78" s="67"/>
      <c r="AF78" s="41"/>
      <c r="AH78" s="23">
        <f t="shared" si="2"/>
        <v>2449671248</v>
      </c>
      <c r="AI78" s="17"/>
    </row>
    <row r="79" spans="1:35">
      <c r="A79" s="11" t="s">
        <v>175</v>
      </c>
      <c r="B79" s="26"/>
      <c r="C79" s="69"/>
      <c r="D79" s="68"/>
      <c r="E79" s="122"/>
      <c r="F79" s="67"/>
      <c r="G79" s="67"/>
      <c r="H79" s="26"/>
      <c r="I79" s="26"/>
      <c r="J79" s="65">
        <v>1039767301</v>
      </c>
      <c r="K79" s="67">
        <v>868510182</v>
      </c>
      <c r="M79" s="67"/>
      <c r="N79" s="78"/>
      <c r="O79" s="65"/>
      <c r="P79" s="68">
        <v>984326190</v>
      </c>
      <c r="Q79" s="65">
        <v>711003155</v>
      </c>
      <c r="R79" s="42">
        <v>922195118</v>
      </c>
      <c r="S79" s="26"/>
      <c r="T79" s="41"/>
      <c r="U79" s="68"/>
      <c r="V79" s="41"/>
      <c r="W79" s="65"/>
      <c r="X79" s="41"/>
      <c r="Y79" s="65"/>
      <c r="Z79" s="78"/>
      <c r="AA79" s="67"/>
      <c r="AB79" s="94"/>
      <c r="AC79" s="67"/>
      <c r="AD79" s="67"/>
      <c r="AF79" s="26">
        <v>706433273</v>
      </c>
      <c r="AH79" s="23"/>
      <c r="AI79" s="17"/>
    </row>
    <row r="80" spans="1:35">
      <c r="A80" s="11" t="s">
        <v>176</v>
      </c>
      <c r="B80" s="26">
        <v>0</v>
      </c>
      <c r="C80" s="69"/>
      <c r="D80" s="65">
        <v>922741645</v>
      </c>
      <c r="E80" s="6">
        <v>1045231225</v>
      </c>
      <c r="F80" s="67">
        <v>920269955</v>
      </c>
      <c r="G80" s="67"/>
      <c r="H80" s="67"/>
      <c r="I80" s="67">
        <v>679525648</v>
      </c>
      <c r="J80" s="72">
        <v>710769537</v>
      </c>
      <c r="K80" s="65">
        <v>955664994</v>
      </c>
      <c r="L80" s="67"/>
      <c r="M80" s="67"/>
      <c r="N80" s="67"/>
      <c r="O80" s="65"/>
      <c r="P80" s="68"/>
      <c r="Q80" s="67"/>
      <c r="R80" s="110"/>
      <c r="S80" s="67"/>
      <c r="T80" s="65"/>
      <c r="U80" s="42"/>
      <c r="V80" s="67"/>
      <c r="W80" s="67"/>
      <c r="X80" s="42"/>
      <c r="Y80" s="65"/>
      <c r="Z80" s="67"/>
      <c r="AA80" s="67"/>
      <c r="AB80" s="94"/>
      <c r="AC80" s="67"/>
      <c r="AD80" s="67"/>
      <c r="AE80" s="67"/>
      <c r="AF80" s="67"/>
      <c r="AG80" s="67"/>
      <c r="AH80" s="23">
        <f t="shared" si="2"/>
        <v>5234203004</v>
      </c>
      <c r="AI80" s="17"/>
    </row>
    <row r="81" spans="1:35">
      <c r="A81" s="27" t="s">
        <v>41</v>
      </c>
      <c r="B81" s="28"/>
      <c r="C81" s="70">
        <f t="shared" ref="C81:AH81" si="3">SUM(C72:C80)</f>
        <v>0</v>
      </c>
      <c r="D81" s="70">
        <f t="shared" si="3"/>
        <v>1442454142</v>
      </c>
      <c r="E81" s="70">
        <f t="shared" si="3"/>
        <v>2899747299</v>
      </c>
      <c r="F81" s="70">
        <f t="shared" si="3"/>
        <v>4642700956</v>
      </c>
      <c r="G81" s="70">
        <f t="shared" si="3"/>
        <v>0</v>
      </c>
      <c r="H81" s="70">
        <f t="shared" si="3"/>
        <v>0</v>
      </c>
      <c r="I81" s="70">
        <f t="shared" si="3"/>
        <v>1414624720</v>
      </c>
      <c r="J81" s="70">
        <f t="shared" si="3"/>
        <v>6998712570</v>
      </c>
      <c r="K81" s="70">
        <f t="shared" si="3"/>
        <v>4219366171</v>
      </c>
      <c r="L81" s="70">
        <f>SUM(L72:L80)</f>
        <v>2684596625</v>
      </c>
      <c r="M81" s="70">
        <f>SUM(M72:M80)</f>
        <v>6099361367</v>
      </c>
      <c r="N81" s="70">
        <f t="shared" si="3"/>
        <v>0</v>
      </c>
      <c r="O81" s="70">
        <f t="shared" si="3"/>
        <v>0</v>
      </c>
      <c r="P81" s="70">
        <f>SUM(P72:P80)</f>
        <v>5176083285</v>
      </c>
      <c r="Q81" s="70">
        <f>SUM(Q72:Q80)</f>
        <v>3398897765</v>
      </c>
      <c r="R81" s="70">
        <f t="shared" si="3"/>
        <v>3144441710</v>
      </c>
      <c r="S81" s="70">
        <f>SUM(S72:S80)</f>
        <v>2252486285</v>
      </c>
      <c r="T81" s="70">
        <f t="shared" si="3"/>
        <v>1690911297</v>
      </c>
      <c r="U81" s="70">
        <f t="shared" si="3"/>
        <v>0</v>
      </c>
      <c r="V81" s="70">
        <f t="shared" si="3"/>
        <v>0</v>
      </c>
      <c r="W81" s="70">
        <f>SUM(W72:W80)</f>
        <v>2111881579</v>
      </c>
      <c r="X81" s="70">
        <f t="shared" si="3"/>
        <v>4315947101</v>
      </c>
      <c r="Y81" s="70">
        <f t="shared" si="3"/>
        <v>5154839330</v>
      </c>
      <c r="Z81" s="70">
        <f t="shared" si="3"/>
        <v>3836482755</v>
      </c>
      <c r="AA81" s="70">
        <f t="shared" si="3"/>
        <v>3143569921</v>
      </c>
      <c r="AB81" s="70">
        <f t="shared" si="3"/>
        <v>0</v>
      </c>
      <c r="AC81" s="70">
        <f t="shared" si="3"/>
        <v>0</v>
      </c>
      <c r="AD81" s="70">
        <f t="shared" si="3"/>
        <v>3594731464</v>
      </c>
      <c r="AE81" s="70">
        <f t="shared" si="3"/>
        <v>1951902966</v>
      </c>
      <c r="AF81" s="70">
        <f t="shared" si="3"/>
        <v>1041236190</v>
      </c>
      <c r="AG81" s="70">
        <f t="shared" si="3"/>
        <v>0</v>
      </c>
      <c r="AH81" s="30">
        <f t="shared" si="3"/>
        <v>65982740279</v>
      </c>
      <c r="AI81" s="6"/>
    </row>
    <row r="82" spans="1:35">
      <c r="A82" s="387" t="s">
        <v>42</v>
      </c>
      <c r="B82" s="388"/>
      <c r="C82" s="71">
        <f t="shared" ref="C82:AG82" si="4">C69+C81</f>
        <v>0</v>
      </c>
      <c r="D82" s="71">
        <f t="shared" si="4"/>
        <v>2793962770</v>
      </c>
      <c r="E82" s="31">
        <f t="shared" si="4"/>
        <v>3261794846</v>
      </c>
      <c r="F82" s="31">
        <f t="shared" si="4"/>
        <v>4992700956</v>
      </c>
      <c r="G82" s="31">
        <f t="shared" si="4"/>
        <v>0</v>
      </c>
      <c r="H82" s="31">
        <f t="shared" si="4"/>
        <v>0</v>
      </c>
      <c r="I82" s="31">
        <f t="shared" si="4"/>
        <v>2022324756</v>
      </c>
      <c r="J82" s="71">
        <f t="shared" si="4"/>
        <v>7633411804</v>
      </c>
      <c r="K82" s="71">
        <f t="shared" si="4"/>
        <v>4871943589</v>
      </c>
      <c r="L82" s="31">
        <f t="shared" si="4"/>
        <v>2923582905</v>
      </c>
      <c r="M82" s="31">
        <f t="shared" si="4"/>
        <v>6467102442</v>
      </c>
      <c r="N82" s="31">
        <f t="shared" si="4"/>
        <v>0</v>
      </c>
      <c r="O82" s="31">
        <f t="shared" si="4"/>
        <v>0</v>
      </c>
      <c r="P82" s="31">
        <f t="shared" si="4"/>
        <v>5679510241</v>
      </c>
      <c r="Q82" s="31">
        <f t="shared" si="4"/>
        <v>3415894057</v>
      </c>
      <c r="R82" s="31">
        <f t="shared" si="4"/>
        <v>3371143327</v>
      </c>
      <c r="S82" s="31">
        <f t="shared" si="4"/>
        <v>2331287782</v>
      </c>
      <c r="T82" s="31">
        <f t="shared" si="4"/>
        <v>2520206870</v>
      </c>
      <c r="U82" s="31">
        <f t="shared" si="4"/>
        <v>0</v>
      </c>
      <c r="V82" s="31">
        <f t="shared" si="4"/>
        <v>0</v>
      </c>
      <c r="W82" s="31">
        <f t="shared" si="4"/>
        <v>2175072698</v>
      </c>
      <c r="X82" s="31">
        <f t="shared" si="4"/>
        <v>6137127455</v>
      </c>
      <c r="Y82" s="31">
        <f t="shared" si="4"/>
        <v>5352139998</v>
      </c>
      <c r="Z82" s="31">
        <f t="shared" si="4"/>
        <v>4507894928</v>
      </c>
      <c r="AA82" s="31">
        <f t="shared" si="4"/>
        <v>3274023138</v>
      </c>
      <c r="AB82" s="31">
        <f t="shared" si="4"/>
        <v>0</v>
      </c>
      <c r="AC82" s="31">
        <f t="shared" si="4"/>
        <v>0</v>
      </c>
      <c r="AD82" s="31">
        <f t="shared" si="4"/>
        <v>5100810218</v>
      </c>
      <c r="AE82" s="31">
        <f t="shared" si="4"/>
        <v>1983821888</v>
      </c>
      <c r="AF82" s="31">
        <f t="shared" si="4"/>
        <v>9262257374</v>
      </c>
      <c r="AG82" s="31">
        <f t="shared" si="4"/>
        <v>0</v>
      </c>
      <c r="AH82" s="31">
        <f>SUM(C82:AG82)</f>
        <v>90078014042</v>
      </c>
    </row>
    <row r="84" spans="1:35">
      <c r="A84" s="3" t="s">
        <v>50</v>
      </c>
      <c r="C84" s="6"/>
      <c r="D84" s="72">
        <v>10481215409</v>
      </c>
      <c r="E84" s="6">
        <v>9813695763</v>
      </c>
      <c r="F84" s="6">
        <v>8970803990</v>
      </c>
      <c r="G84" s="6"/>
      <c r="H84" s="6"/>
      <c r="I84" s="6">
        <v>7316993212</v>
      </c>
      <c r="J84" s="6">
        <v>15569756761</v>
      </c>
      <c r="K84" s="72">
        <v>12301788587</v>
      </c>
      <c r="L84" s="6">
        <v>10423773870</v>
      </c>
      <c r="M84" s="6">
        <v>11118845698</v>
      </c>
      <c r="N84" s="6"/>
      <c r="O84" s="6"/>
      <c r="P84" s="6">
        <v>10875949470</v>
      </c>
      <c r="Q84" s="6">
        <v>8258025058</v>
      </c>
      <c r="R84" s="6">
        <v>8169120256</v>
      </c>
      <c r="S84" s="6">
        <v>7412810793</v>
      </c>
      <c r="T84" s="6">
        <v>7993177347</v>
      </c>
      <c r="U84" s="6"/>
      <c r="V84" s="6"/>
      <c r="W84" s="6">
        <v>11060316114</v>
      </c>
      <c r="X84" s="6">
        <v>14711361557</v>
      </c>
      <c r="Y84" s="6">
        <v>11607217874</v>
      </c>
      <c r="Z84" s="6">
        <v>9310345894</v>
      </c>
      <c r="AA84" s="6">
        <v>8300687423</v>
      </c>
      <c r="AB84" s="40"/>
      <c r="AC84" s="6"/>
      <c r="AD84" s="6">
        <v>10524241198</v>
      </c>
      <c r="AE84" s="6">
        <v>8633902009</v>
      </c>
      <c r="AF84" s="6">
        <v>9471559190</v>
      </c>
      <c r="AG84" s="6"/>
    </row>
    <row r="85" spans="1:35">
      <c r="A85" s="3" t="s">
        <v>139</v>
      </c>
      <c r="C85" s="72"/>
      <c r="D85" s="74">
        <f>D84-D82</f>
        <v>7687252639</v>
      </c>
      <c r="E85" s="43">
        <f>E84-E82</f>
        <v>6551900917</v>
      </c>
      <c r="F85" s="43">
        <f>F84-F82</f>
        <v>3978103034</v>
      </c>
      <c r="G85" s="43"/>
      <c r="H85" s="43"/>
      <c r="I85" s="43">
        <f>I84-I82</f>
        <v>5294668456</v>
      </c>
      <c r="J85" s="80">
        <f>J84-J82</f>
        <v>7936344957</v>
      </c>
      <c r="K85" s="80">
        <f>K84-K82</f>
        <v>7429844998</v>
      </c>
      <c r="L85" s="43">
        <f>L84-L82</f>
        <v>7500190965</v>
      </c>
      <c r="M85" s="43">
        <f>M84-M82</f>
        <v>4651743256</v>
      </c>
      <c r="N85" s="40"/>
      <c r="O85" s="40"/>
      <c r="P85" s="40">
        <f>P84-P82</f>
        <v>5196439229</v>
      </c>
      <c r="Q85" s="40">
        <f>Q84-Q82</f>
        <v>4842131001</v>
      </c>
      <c r="R85" s="43">
        <f>R84-R82</f>
        <v>4797976929</v>
      </c>
      <c r="S85" s="6">
        <f>S84-S82</f>
        <v>5081523011</v>
      </c>
      <c r="T85" s="6">
        <f>T84-T82</f>
        <v>5472970477</v>
      </c>
      <c r="U85" s="40"/>
      <c r="V85" s="40"/>
      <c r="W85" s="43">
        <f>W84-W82</f>
        <v>8885243416</v>
      </c>
      <c r="X85" s="40">
        <f>X84-X82</f>
        <v>8574234102</v>
      </c>
      <c r="Y85" s="40">
        <f>Y84-Y82</f>
        <v>6255077876</v>
      </c>
      <c r="Z85" s="6">
        <f>Z84-Z82</f>
        <v>4802450966</v>
      </c>
      <c r="AA85" s="6">
        <f>AA84-AA82</f>
        <v>5026664285</v>
      </c>
      <c r="AB85" s="40"/>
      <c r="AC85" s="43"/>
      <c r="AD85" s="43">
        <f>AD84-AD82</f>
        <v>5423430980</v>
      </c>
      <c r="AE85" s="125">
        <f>AE84-AE82</f>
        <v>6650080121</v>
      </c>
      <c r="AF85" s="67">
        <f>AF84-AF82</f>
        <v>209301816</v>
      </c>
      <c r="AG85" s="67"/>
    </row>
    <row r="86" spans="1:35">
      <c r="A86" s="3" t="s">
        <v>181</v>
      </c>
      <c r="C86" s="72"/>
      <c r="R86" s="6"/>
      <c r="S86" s="6">
        <v>2106068376</v>
      </c>
      <c r="T86" s="6">
        <v>2422476806</v>
      </c>
      <c r="W86" s="6">
        <v>1899197250</v>
      </c>
      <c r="X86" s="6">
        <v>2332880669</v>
      </c>
      <c r="Y86" s="6">
        <v>2356000000</v>
      </c>
      <c r="Z86" s="6">
        <v>2497597161</v>
      </c>
      <c r="AA86" s="6">
        <v>2305962342</v>
      </c>
      <c r="AD86" s="40">
        <v>1981928733</v>
      </c>
      <c r="AE86" s="6">
        <v>2219956799</v>
      </c>
      <c r="AF86" s="6">
        <v>2550715408</v>
      </c>
    </row>
    <row r="87" spans="1:35">
      <c r="A87" s="3" t="s">
        <v>139</v>
      </c>
      <c r="K87" s="80"/>
      <c r="S87" s="43">
        <f>S85+S86</f>
        <v>7187591387</v>
      </c>
      <c r="T87" s="43">
        <f>T85+T86</f>
        <v>7895447283</v>
      </c>
      <c r="W87" s="6">
        <f>W85+W86</f>
        <v>10784440666</v>
      </c>
      <c r="X87" s="40">
        <f>X85+X86</f>
        <v>10907114771</v>
      </c>
      <c r="Y87" s="43">
        <f>Y85+Y86</f>
        <v>8611077876</v>
      </c>
      <c r="Z87" s="43">
        <f>Z85+Z86</f>
        <v>7300048127</v>
      </c>
      <c r="AA87" s="43">
        <f>AA85+AA86</f>
        <v>7332626627</v>
      </c>
      <c r="AD87" s="43">
        <f>AD85+AD86</f>
        <v>7405359713</v>
      </c>
      <c r="AE87" s="6">
        <f>AE85+AE86</f>
        <v>8870036920</v>
      </c>
      <c r="AF87" s="40">
        <f>AF85+AF86</f>
        <v>2760017224</v>
      </c>
    </row>
    <row r="88" spans="1:35">
      <c r="K88" s="80"/>
    </row>
    <row r="89" spans="1:35">
      <c r="G89" s="3" t="s">
        <v>112</v>
      </c>
    </row>
    <row r="90" spans="1:35">
      <c r="G90" s="3" t="s">
        <v>107</v>
      </c>
      <c r="Y90" s="6"/>
      <c r="AD90" s="41" t="s">
        <v>120</v>
      </c>
      <c r="AE90" s="42">
        <v>35472809</v>
      </c>
      <c r="AF90" s="41" t="s">
        <v>128</v>
      </c>
      <c r="AG90" s="116">
        <f>12601000+58786100+70661200</f>
        <v>142048300</v>
      </c>
      <c r="AH90" s="41" t="s">
        <v>131</v>
      </c>
      <c r="AI90" s="42">
        <v>24220575</v>
      </c>
    </row>
    <row r="91" spans="1:35">
      <c r="C91" s="3"/>
      <c r="D91" s="3"/>
      <c r="AD91" s="41" t="s">
        <v>121</v>
      </c>
      <c r="AE91" s="42">
        <v>14204180</v>
      </c>
      <c r="AF91" s="41" t="s">
        <v>129</v>
      </c>
      <c r="AG91" s="116">
        <v>1130000</v>
      </c>
      <c r="AH91" s="41" t="s">
        <v>132</v>
      </c>
      <c r="AI91" s="42">
        <v>29013000</v>
      </c>
    </row>
    <row r="92" spans="1:35">
      <c r="S92" s="44">
        <v>44256</v>
      </c>
      <c r="U92" s="44"/>
      <c r="AD92" s="41" t="s">
        <v>122</v>
      </c>
      <c r="AE92" s="42">
        <v>38068270</v>
      </c>
      <c r="AF92" s="41" t="s">
        <v>130</v>
      </c>
      <c r="AG92" s="116">
        <v>124601500</v>
      </c>
      <c r="AH92" s="41" t="s">
        <v>127</v>
      </c>
      <c r="AI92" s="42">
        <v>43960805</v>
      </c>
    </row>
    <row r="93" spans="1:35" ht="15">
      <c r="C93" s="3"/>
      <c r="D93" s="3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/>
      <c r="X93"/>
      <c r="Y93"/>
      <c r="AD93" s="41" t="s">
        <v>123</v>
      </c>
      <c r="AE93" s="42">
        <v>37755482</v>
      </c>
      <c r="AF93" s="32" t="s">
        <v>6</v>
      </c>
      <c r="AG93" s="117">
        <f>SUM(AG90:AG92)</f>
        <v>267779800</v>
      </c>
      <c r="AH93" s="41" t="s">
        <v>133</v>
      </c>
      <c r="AI93" s="42">
        <v>16297393</v>
      </c>
    </row>
    <row r="94" spans="1:35" ht="15">
      <c r="C94" s="3"/>
      <c r="D94" s="3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/>
      <c r="X94"/>
      <c r="Y94"/>
      <c r="AD94" s="41" t="s">
        <v>124</v>
      </c>
      <c r="AE94" s="42">
        <v>120074200</v>
      </c>
      <c r="AG94" s="6"/>
      <c r="AH94" s="41" t="s">
        <v>134</v>
      </c>
      <c r="AI94" s="42">
        <v>71402128</v>
      </c>
    </row>
    <row r="95" spans="1:35" ht="15">
      <c r="C95" s="3"/>
      <c r="D95" s="3"/>
      <c r="M95" s="45"/>
      <c r="N95" s="45"/>
      <c r="O95" s="45"/>
      <c r="P95" s="45"/>
      <c r="Q95" s="45" t="s">
        <v>108</v>
      </c>
      <c r="R95" s="45"/>
      <c r="S95" s="45"/>
      <c r="T95" s="45"/>
      <c r="U95" s="45"/>
      <c r="V95" s="45"/>
      <c r="W95"/>
      <c r="X95"/>
      <c r="Y95"/>
      <c r="AC95" s="3" t="s">
        <v>111</v>
      </c>
      <c r="AD95" s="41" t="s">
        <v>125</v>
      </c>
      <c r="AE95" s="42">
        <v>39264697</v>
      </c>
      <c r="AG95" s="6"/>
      <c r="AH95" s="41" t="s">
        <v>135</v>
      </c>
      <c r="AI95" s="42">
        <v>70219456</v>
      </c>
    </row>
    <row r="96" spans="1:35" ht="15">
      <c r="C96" s="3"/>
      <c r="D96" s="3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/>
      <c r="X96"/>
      <c r="Y96"/>
      <c r="AD96" s="41" t="s">
        <v>126</v>
      </c>
      <c r="AE96" s="42">
        <v>3066461</v>
      </c>
      <c r="AG96" s="6"/>
      <c r="AH96" s="41" t="s">
        <v>120</v>
      </c>
      <c r="AI96" s="42">
        <v>6461250</v>
      </c>
    </row>
    <row r="97" spans="3:35" ht="15">
      <c r="C97" s="3"/>
      <c r="D97" s="3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/>
      <c r="X97"/>
      <c r="Y97"/>
      <c r="AD97" s="41" t="s">
        <v>127</v>
      </c>
      <c r="AE97" s="42">
        <v>1150000</v>
      </c>
      <c r="AG97" s="6"/>
      <c r="AH97" s="41" t="s">
        <v>121</v>
      </c>
      <c r="AI97" s="42">
        <v>2735500</v>
      </c>
    </row>
    <row r="98" spans="3:35" ht="15">
      <c r="C98" s="3"/>
      <c r="D98" s="3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/>
      <c r="X98"/>
      <c r="Y98"/>
      <c r="AD98" s="32" t="s">
        <v>6</v>
      </c>
      <c r="AE98" s="115">
        <f>SUM(AE90:AE97)</f>
        <v>289056099</v>
      </c>
      <c r="AH98" s="41" t="s">
        <v>136</v>
      </c>
      <c r="AI98" s="42">
        <v>26692000</v>
      </c>
    </row>
    <row r="99" spans="3:35" ht="15">
      <c r="C99" s="3"/>
      <c r="D99" s="3"/>
      <c r="M99" s="45" t="s">
        <v>97</v>
      </c>
      <c r="N99" s="45"/>
      <c r="O99" s="45"/>
      <c r="P99" s="45"/>
      <c r="Q99" s="45"/>
      <c r="R99" s="45"/>
      <c r="S99" s="45"/>
      <c r="T99" s="45"/>
      <c r="U99" s="45"/>
      <c r="V99" s="45"/>
      <c r="W99"/>
      <c r="X99"/>
      <c r="Y99"/>
      <c r="AH99" s="41" t="s">
        <v>123</v>
      </c>
      <c r="AI99" s="42">
        <v>27332750</v>
      </c>
    </row>
    <row r="100" spans="3:35" ht="15">
      <c r="C100" s="3"/>
      <c r="D100" s="3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/>
      <c r="X100"/>
      <c r="Y100"/>
      <c r="AH100" s="41" t="s">
        <v>124</v>
      </c>
      <c r="AI100" s="42">
        <v>46899155</v>
      </c>
    </row>
    <row r="101" spans="3:35" ht="15">
      <c r="C101" s="3"/>
      <c r="D101" s="3"/>
      <c r="M101"/>
      <c r="N101"/>
      <c r="O101" s="46"/>
      <c r="P101" s="46"/>
      <c r="Q101" s="46"/>
      <c r="R101" s="46"/>
      <c r="S101" s="46"/>
      <c r="T101" s="46"/>
      <c r="U101" s="46"/>
      <c r="V101" s="47"/>
      <c r="W101" s="46"/>
      <c r="X101"/>
      <c r="Y101"/>
      <c r="AH101" s="41" t="s">
        <v>125</v>
      </c>
      <c r="AI101" s="42">
        <v>43312000</v>
      </c>
    </row>
    <row r="102" spans="3:35" ht="15">
      <c r="C102" s="3"/>
      <c r="D102" s="3"/>
      <c r="M102"/>
      <c r="N102"/>
      <c r="O102" s="46"/>
      <c r="P102" s="46"/>
      <c r="Q102" s="46"/>
      <c r="R102" s="46"/>
      <c r="S102" s="46"/>
      <c r="T102" s="46"/>
      <c r="U102" s="46"/>
      <c r="V102" s="47"/>
      <c r="W102" s="46"/>
      <c r="X102"/>
      <c r="Y102"/>
      <c r="AH102" s="41" t="s">
        <v>138</v>
      </c>
      <c r="AI102" s="42">
        <v>2134000</v>
      </c>
    </row>
    <row r="103" spans="3:35" ht="15">
      <c r="C103" s="3"/>
      <c r="D103" s="3"/>
      <c r="M103"/>
      <c r="N103"/>
      <c r="O103" s="46"/>
      <c r="P103" s="46"/>
      <c r="Q103" s="46"/>
      <c r="R103" s="46"/>
      <c r="S103" s="46"/>
      <c r="T103" s="46"/>
      <c r="U103" s="46"/>
      <c r="V103" s="46"/>
      <c r="W103" s="46"/>
      <c r="X103"/>
      <c r="Y103"/>
      <c r="AH103" s="41" t="s">
        <v>137</v>
      </c>
      <c r="AI103" s="42">
        <v>353453</v>
      </c>
    </row>
    <row r="104" spans="3:35">
      <c r="AH104" s="32" t="s">
        <v>6</v>
      </c>
      <c r="AI104" s="115">
        <f>SUM(AI90:AI103)</f>
        <v>411033465</v>
      </c>
    </row>
    <row r="105" spans="3:35">
      <c r="AI105" s="6"/>
    </row>
    <row r="106" spans="3:35">
      <c r="AI106" s="6"/>
    </row>
    <row r="107" spans="3:35">
      <c r="AI107" s="6"/>
    </row>
    <row r="108" spans="3:35">
      <c r="AI108" s="6"/>
    </row>
    <row r="109" spans="3:35">
      <c r="AI109" s="6"/>
    </row>
    <row r="110" spans="3:35">
      <c r="AI110" s="6"/>
    </row>
  </sheetData>
  <mergeCells count="2">
    <mergeCell ref="C4:AG4"/>
    <mergeCell ref="A82:B82"/>
  </mergeCells>
  <pageMargins left="0.70866141732283472" right="0.70866141732283472" top="0.39370078740157483" bottom="0.39370078740157483" header="0.31496062992125984" footer="0.31496062992125984"/>
  <pageSetup paperSize="9" scale="17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146"/>
  <sheetViews>
    <sheetView zoomScale="80" zoomScaleNormal="80" workbookViewId="0">
      <pane xSplit="1" topLeftCell="S1" activePane="topRight" state="frozen"/>
      <selection activeCell="A73" sqref="A73"/>
      <selection pane="topRight" activeCell="A7" sqref="A7:XFD7"/>
    </sheetView>
  </sheetViews>
  <sheetFormatPr defaultRowHeight="12.75"/>
  <cols>
    <col min="1" max="1" width="37.140625" style="3" customWidth="1"/>
    <col min="2" max="2" width="4.28515625" style="3" customWidth="1"/>
    <col min="3" max="3" width="18" style="64" customWidth="1"/>
    <col min="4" max="4" width="16.140625" style="64" customWidth="1"/>
    <col min="5" max="5" width="16.140625" style="3" customWidth="1"/>
    <col min="6" max="6" width="17.140625" style="3" customWidth="1"/>
    <col min="7" max="7" width="17.5703125" style="3" customWidth="1"/>
    <col min="8" max="8" width="17" style="3" customWidth="1"/>
    <col min="9" max="9" width="17.42578125" style="3" customWidth="1"/>
    <col min="10" max="10" width="6.28515625" style="64" customWidth="1"/>
    <col min="11" max="11" width="16.85546875" style="64" customWidth="1"/>
    <col min="12" max="12" width="16.5703125" style="3" customWidth="1"/>
    <col min="13" max="14" width="17.5703125" style="3" customWidth="1"/>
    <col min="15" max="15" width="18.28515625" style="3" customWidth="1"/>
    <col min="16" max="16" width="16" style="3" customWidth="1"/>
    <col min="17" max="17" width="7.42578125" style="3" customWidth="1"/>
    <col min="18" max="18" width="17.28515625" style="3" customWidth="1"/>
    <col min="19" max="19" width="17.140625" style="3" customWidth="1"/>
    <col min="20" max="20" width="18.28515625" style="3" customWidth="1"/>
    <col min="21" max="22" width="15.28515625" style="3" customWidth="1"/>
    <col min="23" max="23" width="20.42578125" style="3" customWidth="1"/>
    <col min="24" max="24" width="17" style="3" customWidth="1"/>
    <col min="25" max="25" width="16.5703125" style="3" customWidth="1"/>
    <col min="26" max="26" width="22.42578125" style="3" customWidth="1"/>
    <col min="27" max="27" width="17" style="3" customWidth="1"/>
    <col min="28" max="28" width="15.5703125" style="3" customWidth="1"/>
    <col min="29" max="29" width="16.140625" style="3" customWidth="1"/>
    <col min="30" max="30" width="21.7109375" style="3" customWidth="1"/>
    <col min="31" max="31" width="16.28515625" style="3" customWidth="1"/>
    <col min="32" max="33" width="17.5703125" style="3" customWidth="1"/>
    <col min="34" max="34" width="20.28515625" style="3" customWidth="1"/>
    <col min="35" max="35" width="13" style="3" customWidth="1"/>
    <col min="36" max="36" width="12.85546875" style="3" customWidth="1"/>
    <col min="37" max="37" width="19.140625" style="3" customWidth="1"/>
    <col min="38" max="16384" width="9.140625" style="3"/>
  </cols>
  <sheetData>
    <row r="1" spans="1:35">
      <c r="A1" s="1" t="s">
        <v>0</v>
      </c>
      <c r="B1" s="2"/>
      <c r="C1" s="62"/>
      <c r="D1" s="62"/>
      <c r="E1" s="2"/>
      <c r="F1" s="2"/>
      <c r="G1" s="2"/>
      <c r="H1" s="2"/>
      <c r="I1" s="2"/>
      <c r="J1" s="62"/>
      <c r="K1" s="6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s="6" customFormat="1">
      <c r="A2" s="4" t="s">
        <v>1</v>
      </c>
      <c r="B2" s="5"/>
      <c r="C2" s="63"/>
      <c r="D2" s="63"/>
      <c r="E2" s="5"/>
      <c r="F2" s="5"/>
      <c r="G2" s="5"/>
      <c r="H2" s="5"/>
      <c r="I2" s="5"/>
      <c r="J2" s="63"/>
      <c r="K2" s="63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>
      <c r="A3" s="7" t="s">
        <v>2</v>
      </c>
      <c r="B3" s="8">
        <v>44378</v>
      </c>
      <c r="C3" s="63"/>
      <c r="D3" s="63"/>
      <c r="E3" s="5"/>
      <c r="F3" s="5"/>
      <c r="G3" s="5"/>
      <c r="H3" s="5"/>
      <c r="I3" s="5"/>
      <c r="J3" s="63"/>
      <c r="K3" s="63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>
      <c r="A4" s="34" t="s">
        <v>3</v>
      </c>
      <c r="B4" s="35" t="s">
        <v>4</v>
      </c>
      <c r="C4" s="384" t="s">
        <v>5</v>
      </c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6"/>
      <c r="AH4" s="36" t="s">
        <v>6</v>
      </c>
      <c r="AI4" s="6"/>
    </row>
    <row r="5" spans="1:35">
      <c r="A5" s="34"/>
      <c r="B5" s="35"/>
      <c r="C5" s="37">
        <v>183</v>
      </c>
      <c r="D5" s="37">
        <v>184</v>
      </c>
      <c r="E5" s="37">
        <v>185</v>
      </c>
      <c r="F5" s="37">
        <v>186</v>
      </c>
      <c r="G5" s="37">
        <v>187</v>
      </c>
      <c r="H5" s="37">
        <v>188</v>
      </c>
      <c r="I5" s="37">
        <v>189</v>
      </c>
      <c r="J5" s="37">
        <v>190</v>
      </c>
      <c r="K5" s="37">
        <v>191</v>
      </c>
      <c r="L5" s="37">
        <v>192</v>
      </c>
      <c r="M5" s="37">
        <v>193</v>
      </c>
      <c r="N5" s="37">
        <v>194</v>
      </c>
      <c r="O5" s="37">
        <v>195</v>
      </c>
      <c r="P5" s="37">
        <v>196</v>
      </c>
      <c r="Q5" s="37">
        <v>197</v>
      </c>
      <c r="R5" s="37">
        <v>198</v>
      </c>
      <c r="S5" s="37">
        <v>199</v>
      </c>
      <c r="T5" s="37">
        <v>200</v>
      </c>
      <c r="U5" s="37">
        <v>201</v>
      </c>
      <c r="V5" s="37">
        <v>202</v>
      </c>
      <c r="W5" s="37">
        <v>203</v>
      </c>
      <c r="X5" s="37">
        <v>204</v>
      </c>
      <c r="Y5" s="37">
        <v>205</v>
      </c>
      <c r="Z5" s="37">
        <v>206</v>
      </c>
      <c r="AA5" s="37">
        <v>207</v>
      </c>
      <c r="AB5" s="37">
        <v>208</v>
      </c>
      <c r="AC5" s="37">
        <v>209</v>
      </c>
      <c r="AD5" s="37">
        <v>210</v>
      </c>
      <c r="AE5" s="37">
        <v>211</v>
      </c>
      <c r="AF5" s="37">
        <v>212</v>
      </c>
      <c r="AG5" s="37">
        <v>183</v>
      </c>
      <c r="AH5" s="36"/>
      <c r="AI5" s="6"/>
    </row>
    <row r="6" spans="1:35" ht="13.5" customHeight="1">
      <c r="A6" s="10" t="s">
        <v>7</v>
      </c>
      <c r="B6" s="11"/>
      <c r="C6" s="13"/>
      <c r="D6" s="13"/>
      <c r="E6" s="14"/>
      <c r="F6" s="14"/>
      <c r="G6" s="14"/>
      <c r="H6" s="14"/>
      <c r="I6" s="14"/>
      <c r="J6" s="13"/>
      <c r="K6" s="13"/>
      <c r="L6" s="14"/>
      <c r="M6" s="14"/>
      <c r="N6" s="14"/>
      <c r="O6" s="13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2"/>
      <c r="AI6" s="6"/>
    </row>
    <row r="7" spans="1:35">
      <c r="A7" s="15" t="s">
        <v>48</v>
      </c>
      <c r="B7" s="11"/>
      <c r="C7" s="13"/>
      <c r="D7" s="73"/>
      <c r="E7" s="41"/>
      <c r="F7" s="41"/>
      <c r="G7" s="48"/>
      <c r="H7" s="50"/>
      <c r="I7" s="41"/>
      <c r="J7" s="73"/>
      <c r="K7" s="73"/>
      <c r="L7" s="48"/>
      <c r="M7" s="48"/>
      <c r="N7" s="87"/>
      <c r="O7" s="41"/>
      <c r="P7" s="94">
        <f>283204350+179150400+209845350+163320300+118725750+66447810</f>
        <v>1020693960</v>
      </c>
      <c r="Q7" s="48"/>
      <c r="R7" s="73"/>
      <c r="S7" s="50"/>
      <c r="T7" s="73"/>
      <c r="U7" s="73"/>
      <c r="V7" s="48"/>
      <c r="W7" s="48"/>
      <c r="X7" s="73"/>
      <c r="Y7" s="48"/>
      <c r="Z7" s="48"/>
      <c r="AA7" s="48"/>
      <c r="AB7" s="48"/>
      <c r="AC7" s="48"/>
      <c r="AD7" s="48"/>
      <c r="AE7" s="48"/>
      <c r="AF7" s="48"/>
      <c r="AG7" s="48"/>
      <c r="AH7" s="14">
        <f>SUM(C7:AG7)</f>
        <v>1020693960</v>
      </c>
      <c r="AI7" s="17"/>
    </row>
    <row r="8" spans="1:35">
      <c r="A8" s="15" t="s">
        <v>48</v>
      </c>
      <c r="B8" s="11"/>
      <c r="C8" s="13"/>
      <c r="D8" s="73"/>
      <c r="E8" s="41"/>
      <c r="F8" s="41"/>
      <c r="G8" s="48"/>
      <c r="H8" s="50"/>
      <c r="I8" s="41"/>
      <c r="J8" s="73"/>
      <c r="K8" s="73"/>
      <c r="L8" s="48"/>
      <c r="M8" s="48"/>
      <c r="N8" s="87"/>
      <c r="O8" s="41"/>
      <c r="P8" s="41"/>
      <c r="Q8" s="41"/>
      <c r="R8" s="41"/>
      <c r="S8" s="50"/>
      <c r="T8" s="73"/>
      <c r="U8" s="41"/>
      <c r="V8" s="48"/>
      <c r="W8" s="94">
        <f>289381950+209845350+163320300+66447810</f>
        <v>728995410</v>
      </c>
      <c r="X8" s="73"/>
      <c r="Y8" s="48"/>
      <c r="Z8" s="48"/>
      <c r="AA8" s="48"/>
      <c r="AB8" s="48"/>
      <c r="AC8" s="48"/>
      <c r="AD8" s="48"/>
      <c r="AE8" s="48"/>
      <c r="AF8" s="48"/>
      <c r="AG8" s="48"/>
      <c r="AH8" s="14"/>
      <c r="AI8" s="17"/>
    </row>
    <row r="9" spans="1:35">
      <c r="A9" s="15" t="s">
        <v>49</v>
      </c>
      <c r="B9" s="11"/>
      <c r="C9" s="13"/>
      <c r="D9" s="73"/>
      <c r="E9" s="48"/>
      <c r="F9" s="48"/>
      <c r="G9" s="48"/>
      <c r="H9" s="48"/>
      <c r="I9" s="48"/>
      <c r="J9" s="78"/>
      <c r="K9" s="73"/>
      <c r="L9" s="48"/>
      <c r="M9" s="48"/>
      <c r="N9" s="48"/>
      <c r="O9" s="86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14">
        <f>SUM(C9:AG9)</f>
        <v>0</v>
      </c>
      <c r="AI9" s="17"/>
    </row>
    <row r="10" spans="1:35">
      <c r="A10" s="15" t="s">
        <v>8</v>
      </c>
      <c r="B10" s="11"/>
      <c r="C10" s="13"/>
      <c r="D10" s="73"/>
      <c r="E10" s="48"/>
      <c r="F10" s="73"/>
      <c r="G10" s="48"/>
      <c r="H10" s="48"/>
      <c r="I10" s="48"/>
      <c r="J10" s="78"/>
      <c r="K10" s="78"/>
      <c r="L10" s="41"/>
      <c r="M10" s="41"/>
      <c r="N10" s="50"/>
      <c r="O10" s="86"/>
      <c r="P10" s="41"/>
      <c r="Q10" s="41"/>
      <c r="R10" s="41"/>
      <c r="S10" s="73"/>
      <c r="T10" s="48"/>
      <c r="U10" s="73"/>
      <c r="V10" s="73"/>
      <c r="W10" s="48"/>
      <c r="X10" s="73"/>
      <c r="Y10" s="73">
        <v>138967549</v>
      </c>
      <c r="Z10" s="48"/>
      <c r="AA10" s="73"/>
      <c r="AB10" s="73"/>
      <c r="AC10" s="48"/>
      <c r="AD10" s="48"/>
      <c r="AE10" s="73"/>
      <c r="AF10" s="48"/>
      <c r="AG10" s="48"/>
      <c r="AH10" s="14">
        <f>SUM(C10:AG10)</f>
        <v>138967549</v>
      </c>
      <c r="AI10" s="17"/>
    </row>
    <row r="11" spans="1:35">
      <c r="A11" s="15" t="s">
        <v>9</v>
      </c>
      <c r="B11" s="11"/>
      <c r="C11" s="13"/>
      <c r="D11" s="73"/>
      <c r="E11" s="48"/>
      <c r="F11" s="48"/>
      <c r="G11" s="48"/>
      <c r="H11" s="48"/>
      <c r="I11" s="48"/>
      <c r="J11" s="78"/>
      <c r="K11" s="73"/>
      <c r="L11" s="48"/>
      <c r="M11" s="48"/>
      <c r="N11" s="48"/>
      <c r="O11" s="86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14">
        <f>SUM(C11:AG11)</f>
        <v>0</v>
      </c>
      <c r="AI11" s="17"/>
    </row>
    <row r="12" spans="1:35">
      <c r="A12" s="15" t="s">
        <v>10</v>
      </c>
      <c r="B12" s="11"/>
      <c r="C12" s="102"/>
      <c r="D12" s="102"/>
      <c r="E12" s="48"/>
      <c r="F12" s="50"/>
      <c r="G12" s="50"/>
      <c r="H12" s="48"/>
      <c r="I12" s="48"/>
      <c r="J12" s="78"/>
      <c r="K12" s="102"/>
      <c r="L12" s="50"/>
      <c r="M12" s="73"/>
      <c r="N12" s="50"/>
      <c r="O12" s="50"/>
      <c r="P12" s="48"/>
      <c r="Q12" s="48"/>
      <c r="R12" s="48"/>
      <c r="S12" s="48"/>
      <c r="T12" s="50"/>
      <c r="U12" s="48"/>
      <c r="V12" s="48"/>
      <c r="W12" s="48"/>
      <c r="X12" s="48"/>
      <c r="Y12" s="48"/>
      <c r="Z12" s="48"/>
      <c r="AA12" s="48"/>
      <c r="AB12" s="50"/>
      <c r="AC12" s="48"/>
      <c r="AD12" s="48"/>
      <c r="AE12" s="48"/>
      <c r="AF12" s="48"/>
      <c r="AG12" s="48"/>
      <c r="AH12" s="14">
        <f>SUM(E12:AG12)</f>
        <v>0</v>
      </c>
      <c r="AI12" s="17"/>
    </row>
    <row r="13" spans="1:35">
      <c r="A13" s="15" t="s">
        <v>205</v>
      </c>
      <c r="B13" s="11"/>
      <c r="C13" s="78"/>
      <c r="D13" s="78"/>
      <c r="E13" s="41"/>
      <c r="F13" s="48"/>
      <c r="G13" s="41"/>
      <c r="H13" s="41"/>
      <c r="I13" s="41"/>
      <c r="J13" s="78"/>
      <c r="K13" s="78"/>
      <c r="L13" s="48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73">
        <v>14000000</v>
      </c>
      <c r="AF13" s="90">
        <v>21000000</v>
      </c>
      <c r="AG13" s="48"/>
      <c r="AH13" s="14">
        <f>SUM(F13:AG13)</f>
        <v>35000000</v>
      </c>
      <c r="AI13" s="17"/>
    </row>
    <row r="14" spans="1:35">
      <c r="A14" s="15" t="s">
        <v>206</v>
      </c>
      <c r="B14" s="11"/>
      <c r="C14" s="78"/>
      <c r="D14" s="78"/>
      <c r="E14" s="41"/>
      <c r="F14" s="48"/>
      <c r="G14" s="41"/>
      <c r="H14" s="41"/>
      <c r="I14" s="41"/>
      <c r="J14" s="78"/>
      <c r="K14" s="78"/>
      <c r="L14" s="48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73"/>
      <c r="AF14" s="90">
        <v>14000000</v>
      </c>
      <c r="AG14" s="48"/>
      <c r="AH14" s="14"/>
      <c r="AI14" s="17"/>
    </row>
    <row r="15" spans="1:35">
      <c r="A15" s="15" t="s">
        <v>190</v>
      </c>
      <c r="B15" s="11"/>
      <c r="C15" s="13"/>
      <c r="D15" s="73"/>
      <c r="E15" s="48"/>
      <c r="F15" s="48"/>
      <c r="G15" s="48"/>
      <c r="H15" s="48"/>
      <c r="I15" s="73"/>
      <c r="J15" s="78"/>
      <c r="K15" s="73"/>
      <c r="L15" s="48"/>
      <c r="M15" s="41"/>
      <c r="N15" s="48"/>
      <c r="O15" s="48"/>
      <c r="P15" s="41"/>
      <c r="Q15" s="41"/>
      <c r="R15" s="41"/>
      <c r="S15" s="41"/>
      <c r="T15" s="41"/>
      <c r="U15" s="48"/>
      <c r="V15" s="41"/>
      <c r="W15" s="41"/>
      <c r="X15" s="41"/>
      <c r="Y15" s="41"/>
      <c r="Z15" s="41"/>
      <c r="AA15" s="41"/>
      <c r="AB15" s="48"/>
      <c r="AC15" s="41"/>
      <c r="AD15" s="41"/>
      <c r="AE15" s="48"/>
      <c r="AF15" s="86"/>
      <c r="AG15" s="48"/>
      <c r="AH15" s="14"/>
      <c r="AI15" s="17"/>
    </row>
    <row r="16" spans="1:35">
      <c r="A16" s="15" t="s">
        <v>191</v>
      </c>
      <c r="B16" s="11"/>
      <c r="C16" s="13"/>
      <c r="D16" s="73"/>
      <c r="E16" s="48"/>
      <c r="F16" s="48"/>
      <c r="G16" s="48"/>
      <c r="H16" s="48"/>
      <c r="I16" s="73"/>
      <c r="J16" s="78"/>
      <c r="K16" s="73"/>
      <c r="L16" s="48"/>
      <c r="M16" s="41"/>
      <c r="N16" s="48"/>
      <c r="O16" s="48"/>
      <c r="P16" s="41"/>
      <c r="Q16" s="41"/>
      <c r="R16" s="41"/>
      <c r="S16" s="41"/>
      <c r="T16" s="41"/>
      <c r="U16" s="48"/>
      <c r="V16" s="41"/>
      <c r="W16" s="41"/>
      <c r="X16" s="41"/>
      <c r="Y16" s="41"/>
      <c r="Z16" s="41"/>
      <c r="AA16" s="41"/>
      <c r="AB16" s="48"/>
      <c r="AC16" s="41"/>
      <c r="AD16" s="41"/>
      <c r="AE16" s="48"/>
      <c r="AF16" s="73"/>
      <c r="AG16" s="48"/>
      <c r="AH16" s="14"/>
      <c r="AI16" s="17"/>
    </row>
    <row r="17" spans="1:35">
      <c r="A17" s="18" t="s">
        <v>12</v>
      </c>
      <c r="B17" s="11"/>
      <c r="C17" s="13"/>
      <c r="D17" s="73"/>
      <c r="E17" s="48"/>
      <c r="F17" s="48"/>
      <c r="G17" s="48"/>
      <c r="H17" s="48"/>
      <c r="I17" s="48"/>
      <c r="J17" s="78"/>
      <c r="K17" s="73"/>
      <c r="L17" s="48"/>
      <c r="M17" s="48"/>
      <c r="N17" s="48"/>
      <c r="O17" s="48"/>
      <c r="P17" s="48"/>
      <c r="Q17" s="48"/>
      <c r="R17" s="48"/>
      <c r="S17" s="48"/>
      <c r="T17" s="73"/>
      <c r="U17" s="48"/>
      <c r="V17" s="48"/>
      <c r="W17" s="48"/>
      <c r="X17" s="48"/>
      <c r="Y17" s="48"/>
      <c r="Z17" s="48"/>
      <c r="AA17" s="48"/>
      <c r="AB17" s="48"/>
      <c r="AC17" s="41"/>
      <c r="AD17" s="41"/>
      <c r="AE17" s="48"/>
      <c r="AF17" s="48"/>
      <c r="AG17" s="48"/>
      <c r="AH17" s="14">
        <f>SUM(C17:AG17)</f>
        <v>0</v>
      </c>
      <c r="AI17" s="17"/>
    </row>
    <row r="18" spans="1:35">
      <c r="A18" s="18" t="s">
        <v>13</v>
      </c>
      <c r="B18" s="11"/>
      <c r="C18" s="13"/>
      <c r="D18" s="73"/>
      <c r="E18" s="48"/>
      <c r="F18" s="48"/>
      <c r="G18" s="48"/>
      <c r="H18" s="48"/>
      <c r="I18" s="48"/>
      <c r="J18" s="78"/>
      <c r="K18" s="73"/>
      <c r="L18" s="48"/>
      <c r="M18" s="48"/>
      <c r="N18" s="48"/>
      <c r="O18" s="48"/>
      <c r="P18" s="48"/>
      <c r="Q18" s="48"/>
      <c r="R18" s="48"/>
      <c r="S18" s="48"/>
      <c r="T18" s="73"/>
      <c r="U18" s="48"/>
      <c r="V18" s="48"/>
      <c r="W18" s="48"/>
      <c r="X18" s="48"/>
      <c r="Y18" s="48"/>
      <c r="Z18" s="48"/>
      <c r="AA18" s="48"/>
      <c r="AB18" s="48"/>
      <c r="AC18" s="41"/>
      <c r="AD18" s="41"/>
      <c r="AE18" s="48"/>
      <c r="AF18" s="48"/>
      <c r="AG18" s="48"/>
      <c r="AH18" s="14">
        <f>SUM(C18:AG18)</f>
        <v>0</v>
      </c>
      <c r="AI18" s="17"/>
    </row>
    <row r="19" spans="1:35">
      <c r="A19" s="18" t="s">
        <v>14</v>
      </c>
      <c r="B19" s="11"/>
      <c r="C19" s="13"/>
      <c r="D19" s="73"/>
      <c r="E19" s="48"/>
      <c r="F19" s="48"/>
      <c r="G19" s="48"/>
      <c r="H19" s="48"/>
      <c r="I19" s="48"/>
      <c r="J19" s="78"/>
      <c r="K19" s="73"/>
      <c r="L19" s="48"/>
      <c r="M19" s="48"/>
      <c r="N19" s="48"/>
      <c r="O19" s="48"/>
      <c r="P19" s="48"/>
      <c r="Q19" s="48"/>
      <c r="R19" s="48"/>
      <c r="S19" s="48"/>
      <c r="T19" s="73"/>
      <c r="U19" s="48"/>
      <c r="V19" s="48"/>
      <c r="W19" s="48"/>
      <c r="X19" s="48"/>
      <c r="Y19" s="48"/>
      <c r="Z19" s="48"/>
      <c r="AA19" s="48"/>
      <c r="AB19" s="48"/>
      <c r="AC19" s="41"/>
      <c r="AD19" s="41"/>
      <c r="AE19" s="48"/>
      <c r="AF19" s="48"/>
      <c r="AG19" s="48"/>
      <c r="AH19" s="14">
        <f>SUM(C19:AG19)</f>
        <v>0</v>
      </c>
      <c r="AI19" s="17"/>
    </row>
    <row r="20" spans="1:35">
      <c r="A20" s="15" t="s">
        <v>214</v>
      </c>
      <c r="B20" s="11"/>
      <c r="C20" s="13"/>
      <c r="D20" s="73"/>
      <c r="E20" s="48"/>
      <c r="F20" s="41"/>
      <c r="G20" s="50"/>
      <c r="H20" s="87"/>
      <c r="I20" s="41"/>
      <c r="J20" s="78"/>
      <c r="K20" s="73"/>
      <c r="L20" s="50"/>
      <c r="M20" s="87"/>
      <c r="N20" s="50"/>
      <c r="O20" s="41"/>
      <c r="P20" s="73">
        <f>69691050+140509512</f>
        <v>210200562</v>
      </c>
      <c r="Q20" s="73"/>
      <c r="R20" s="41"/>
      <c r="S20" s="48"/>
      <c r="T20" s="73"/>
      <c r="U20" s="41"/>
      <c r="V20" s="48"/>
      <c r="W20" s="73">
        <v>134455464</v>
      </c>
      <c r="X20" s="87"/>
      <c r="Y20" s="87"/>
      <c r="Z20" s="48"/>
      <c r="AA20" s="48"/>
      <c r="AB20" s="73"/>
      <c r="AC20" s="41"/>
      <c r="AD20" s="41"/>
      <c r="AE20" s="48"/>
      <c r="AF20" s="48"/>
      <c r="AG20" s="48"/>
      <c r="AH20" s="14">
        <f>SUM(C20:AG20)</f>
        <v>344656026</v>
      </c>
      <c r="AI20" s="17"/>
    </row>
    <row r="21" spans="1:35">
      <c r="A21" s="15" t="s">
        <v>215</v>
      </c>
      <c r="B21" s="11"/>
      <c r="C21" s="13"/>
      <c r="D21" s="73"/>
      <c r="E21" s="48"/>
      <c r="F21" s="41"/>
      <c r="G21" s="50"/>
      <c r="H21" s="87"/>
      <c r="I21" s="41"/>
      <c r="J21" s="78"/>
      <c r="K21" s="73"/>
      <c r="L21" s="50"/>
      <c r="M21" s="87"/>
      <c r="N21" s="50"/>
      <c r="O21" s="48"/>
      <c r="P21" s="48"/>
      <c r="Q21" s="73"/>
      <c r="R21" s="48"/>
      <c r="S21" s="48"/>
      <c r="T21" s="73"/>
      <c r="U21" s="48"/>
      <c r="V21" s="48"/>
      <c r="W21" s="48"/>
      <c r="X21" s="87"/>
      <c r="Y21" s="87"/>
      <c r="Z21" s="48"/>
      <c r="AA21" s="48"/>
      <c r="AB21" s="73"/>
      <c r="AC21" s="41"/>
      <c r="AD21" s="41"/>
      <c r="AE21" s="48"/>
      <c r="AF21" s="48"/>
      <c r="AG21" s="48"/>
      <c r="AH21" s="14"/>
      <c r="AI21" s="17"/>
    </row>
    <row r="22" spans="1:35">
      <c r="A22" s="15" t="s">
        <v>224</v>
      </c>
      <c r="B22" s="11"/>
      <c r="C22" s="102"/>
      <c r="D22" s="73"/>
      <c r="E22" s="50"/>
      <c r="F22" s="50"/>
      <c r="G22" s="94"/>
      <c r="H22" s="50"/>
      <c r="I22" s="50"/>
      <c r="J22" s="78"/>
      <c r="K22" s="102"/>
      <c r="L22" s="50"/>
      <c r="M22" s="50"/>
      <c r="N22" s="87"/>
      <c r="O22" s="50"/>
      <c r="P22" s="48"/>
      <c r="Q22" s="94"/>
      <c r="R22" s="41"/>
      <c r="S22" s="13"/>
      <c r="T22" s="73"/>
      <c r="U22" s="41"/>
      <c r="V22" s="94"/>
      <c r="W22" s="41"/>
      <c r="X22" s="41"/>
      <c r="Y22" s="41"/>
      <c r="Z22" s="48"/>
      <c r="AA22" s="41"/>
      <c r="AB22" s="41"/>
      <c r="AC22" s="41"/>
      <c r="AD22" s="41"/>
      <c r="AE22" s="41"/>
      <c r="AF22" s="86">
        <v>316672904</v>
      </c>
      <c r="AG22" s="48"/>
      <c r="AH22" s="14">
        <f>SUM(H22:AG22)</f>
        <v>316672904</v>
      </c>
      <c r="AI22" s="17"/>
    </row>
    <row r="23" spans="1:35">
      <c r="A23" s="15" t="s">
        <v>225</v>
      </c>
      <c r="B23" s="11"/>
      <c r="C23" s="102"/>
      <c r="D23" s="73"/>
      <c r="E23" s="50"/>
      <c r="F23" s="50"/>
      <c r="G23" s="94"/>
      <c r="H23" s="50"/>
      <c r="I23" s="50"/>
      <c r="J23" s="78"/>
      <c r="K23" s="102"/>
      <c r="L23" s="50"/>
      <c r="M23" s="50"/>
      <c r="N23" s="87"/>
      <c r="O23" s="50"/>
      <c r="P23" s="48"/>
      <c r="Q23" s="94"/>
      <c r="R23" s="41"/>
      <c r="S23" s="13"/>
      <c r="T23" s="73"/>
      <c r="U23" s="41"/>
      <c r="V23" s="94"/>
      <c r="W23" s="41"/>
      <c r="X23" s="41"/>
      <c r="Y23" s="41"/>
      <c r="Z23" s="48"/>
      <c r="AA23" s="41"/>
      <c r="AB23" s="41"/>
      <c r="AC23" s="41"/>
      <c r="AD23" s="41"/>
      <c r="AE23" s="41"/>
      <c r="AF23" s="86">
        <v>579316535</v>
      </c>
      <c r="AG23" s="48"/>
      <c r="AH23" s="14"/>
      <c r="AI23" s="17"/>
    </row>
    <row r="24" spans="1:35">
      <c r="A24" s="15" t="s">
        <v>226</v>
      </c>
      <c r="B24" s="11"/>
      <c r="C24" s="102"/>
      <c r="D24" s="73"/>
      <c r="E24" s="50"/>
      <c r="F24" s="50"/>
      <c r="G24" s="94"/>
      <c r="H24" s="50"/>
      <c r="I24" s="50"/>
      <c r="J24" s="78"/>
      <c r="K24" s="102"/>
      <c r="L24" s="50"/>
      <c r="M24" s="50"/>
      <c r="N24" s="87"/>
      <c r="O24" s="50"/>
      <c r="P24" s="48"/>
      <c r="Q24" s="94"/>
      <c r="R24" s="41"/>
      <c r="S24" s="13"/>
      <c r="T24" s="73"/>
      <c r="U24" s="41"/>
      <c r="V24" s="94"/>
      <c r="W24" s="41"/>
      <c r="X24" s="41"/>
      <c r="Y24" s="41"/>
      <c r="Z24" s="48"/>
      <c r="AA24" s="41"/>
      <c r="AB24" s="41"/>
      <c r="AC24" s="41"/>
      <c r="AD24" s="41"/>
      <c r="AE24" s="41"/>
      <c r="AF24" s="86">
        <v>128796678</v>
      </c>
      <c r="AG24" s="48"/>
      <c r="AH24" s="14"/>
      <c r="AI24" s="17"/>
    </row>
    <row r="25" spans="1:35">
      <c r="A25" s="15" t="s">
        <v>17</v>
      </c>
      <c r="B25" s="11"/>
      <c r="C25" s="13"/>
      <c r="D25" s="41"/>
      <c r="E25" s="48"/>
      <c r="F25" s="48"/>
      <c r="G25" s="50"/>
      <c r="H25" s="48"/>
      <c r="I25" s="48"/>
      <c r="J25" s="78"/>
      <c r="K25" s="73"/>
      <c r="L25" s="50"/>
      <c r="M25" s="50"/>
      <c r="N25" s="50"/>
      <c r="O25" s="48"/>
      <c r="P25" s="48"/>
      <c r="Q25" s="73"/>
      <c r="R25" s="48"/>
      <c r="S25" s="48"/>
      <c r="T25" s="73"/>
      <c r="U25" s="73">
        <v>98118000</v>
      </c>
      <c r="V25" s="48"/>
      <c r="W25" s="41"/>
      <c r="X25" s="48"/>
      <c r="Y25" s="48"/>
      <c r="Z25" s="48"/>
      <c r="AA25" s="48"/>
      <c r="AB25" s="48"/>
      <c r="AC25" s="41"/>
      <c r="AD25" s="48"/>
      <c r="AE25" s="48"/>
      <c r="AF25" s="48"/>
      <c r="AG25" s="48"/>
      <c r="AH25" s="14">
        <f t="shared" ref="AH25:AH32" si="0">SUM(C25:AG25)</f>
        <v>98118000</v>
      </c>
      <c r="AI25" s="17"/>
    </row>
    <row r="26" spans="1:35">
      <c r="A26" s="15" t="s">
        <v>18</v>
      </c>
      <c r="B26" s="11"/>
      <c r="C26" s="13"/>
      <c r="D26" s="41"/>
      <c r="E26" s="48"/>
      <c r="F26" s="48"/>
      <c r="G26" s="48"/>
      <c r="H26" s="48"/>
      <c r="I26" s="48"/>
      <c r="J26" s="78"/>
      <c r="K26" s="73"/>
      <c r="L26" s="50"/>
      <c r="M26" s="48"/>
      <c r="N26" s="48"/>
      <c r="O26" s="48"/>
      <c r="P26" s="48"/>
      <c r="Q26" s="48"/>
      <c r="R26" s="48"/>
      <c r="S26" s="48"/>
      <c r="T26" s="73"/>
      <c r="U26" s="48"/>
      <c r="V26" s="48"/>
      <c r="W26" s="41"/>
      <c r="X26" s="50"/>
      <c r="Y26" s="48"/>
      <c r="Z26" s="48"/>
      <c r="AA26" s="48"/>
      <c r="AB26" s="48"/>
      <c r="AC26" s="41"/>
      <c r="AD26" s="48"/>
      <c r="AE26" s="48"/>
      <c r="AF26" s="48"/>
      <c r="AG26" s="48"/>
      <c r="AH26" s="14">
        <f t="shared" si="0"/>
        <v>0</v>
      </c>
      <c r="AI26" s="17"/>
    </row>
    <row r="27" spans="1:35" ht="15">
      <c r="A27" s="15" t="s">
        <v>19</v>
      </c>
      <c r="B27" s="11"/>
      <c r="C27" s="13"/>
      <c r="D27" s="41"/>
      <c r="E27" s="48"/>
      <c r="F27" s="50"/>
      <c r="G27" s="50"/>
      <c r="H27" s="48"/>
      <c r="I27" s="51"/>
      <c r="J27" s="78"/>
      <c r="K27" s="102"/>
      <c r="L27" s="50"/>
      <c r="M27" s="50"/>
      <c r="N27" s="50"/>
      <c r="O27" s="50"/>
      <c r="P27" s="48"/>
      <c r="Q27" s="50"/>
      <c r="R27" s="87"/>
      <c r="S27" s="73"/>
      <c r="T27" s="73"/>
      <c r="U27" s="48"/>
      <c r="V27" s="48"/>
      <c r="W27" s="41"/>
      <c r="X27" s="48"/>
      <c r="Y27" s="48"/>
      <c r="Z27" s="48"/>
      <c r="AA27" s="48"/>
      <c r="AB27" s="73"/>
      <c r="AC27" s="41"/>
      <c r="AD27" s="48"/>
      <c r="AE27" s="48"/>
      <c r="AF27" s="48"/>
      <c r="AG27" s="48"/>
      <c r="AH27" s="14">
        <f t="shared" si="0"/>
        <v>0</v>
      </c>
      <c r="AI27" s="17"/>
    </row>
    <row r="28" spans="1:35">
      <c r="A28" s="15" t="s">
        <v>20</v>
      </c>
      <c r="B28" s="11"/>
      <c r="C28" s="13"/>
      <c r="D28" s="41"/>
      <c r="E28" s="48"/>
      <c r="F28" s="48"/>
      <c r="G28" s="73"/>
      <c r="H28" s="48"/>
      <c r="I28" s="48"/>
      <c r="J28" s="78"/>
      <c r="K28" s="78"/>
      <c r="L28" s="41"/>
      <c r="M28" s="41"/>
      <c r="N28" s="48"/>
      <c r="O28" s="48"/>
      <c r="P28" s="41"/>
      <c r="Q28" s="41"/>
      <c r="R28" s="41"/>
      <c r="S28" s="41"/>
      <c r="T28" s="41"/>
      <c r="U28" s="73"/>
      <c r="V28" s="48"/>
      <c r="W28" s="41"/>
      <c r="X28" s="41"/>
      <c r="Y28" s="41"/>
      <c r="Z28" s="73"/>
      <c r="AA28" s="48"/>
      <c r="AB28" s="65">
        <f>169073767-15571695</f>
        <v>153502072</v>
      </c>
      <c r="AC28" s="41"/>
      <c r="AD28" s="48"/>
      <c r="AE28" s="48"/>
      <c r="AF28" s="48"/>
      <c r="AG28" s="48"/>
      <c r="AH28" s="14">
        <f t="shared" si="0"/>
        <v>153502072</v>
      </c>
      <c r="AI28" s="17"/>
    </row>
    <row r="29" spans="1:35">
      <c r="A29" s="15" t="s">
        <v>204</v>
      </c>
      <c r="B29" s="11"/>
      <c r="C29" s="13"/>
      <c r="D29" s="42">
        <v>141547428</v>
      </c>
      <c r="E29" s="73">
        <v>64717400</v>
      </c>
      <c r="F29" s="48"/>
      <c r="G29" s="73">
        <v>64717400</v>
      </c>
      <c r="H29" s="48"/>
      <c r="I29" s="48"/>
      <c r="J29" s="78"/>
      <c r="K29" s="78"/>
      <c r="L29" s="73"/>
      <c r="M29" s="73"/>
      <c r="N29" s="73">
        <v>207561200</v>
      </c>
      <c r="O29" s="48"/>
      <c r="P29" s="48"/>
      <c r="Q29" s="73"/>
      <c r="R29" s="48"/>
      <c r="S29" s="73"/>
      <c r="T29" s="73"/>
      <c r="U29" s="73"/>
      <c r="V29" s="48"/>
      <c r="W29" s="41"/>
      <c r="X29" s="41"/>
      <c r="Y29" s="65"/>
      <c r="Z29" s="41"/>
      <c r="AA29" s="73"/>
      <c r="AB29" s="73"/>
      <c r="AC29" s="41"/>
      <c r="AD29" s="73"/>
      <c r="AE29" s="73"/>
      <c r="AF29" s="48"/>
      <c r="AG29" s="73"/>
      <c r="AH29" s="14">
        <f t="shared" si="0"/>
        <v>478543428</v>
      </c>
      <c r="AI29" s="17">
        <f>390501249-392501249</f>
        <v>-2000000</v>
      </c>
    </row>
    <row r="30" spans="1:35">
      <c r="A30" s="15" t="s">
        <v>163</v>
      </c>
      <c r="B30" s="11"/>
      <c r="C30" s="13"/>
      <c r="D30" s="42">
        <v>18106704</v>
      </c>
      <c r="E30" s="73"/>
      <c r="F30" s="48"/>
      <c r="G30" s="73"/>
      <c r="H30" s="48"/>
      <c r="I30" s="48"/>
      <c r="J30" s="78"/>
      <c r="K30" s="78"/>
      <c r="L30" s="73"/>
      <c r="M30" s="48"/>
      <c r="N30" s="87"/>
      <c r="O30" s="48"/>
      <c r="P30" s="73"/>
      <c r="Q30" s="73"/>
      <c r="R30" s="73"/>
      <c r="S30" s="48"/>
      <c r="T30" s="73"/>
      <c r="U30" s="48"/>
      <c r="V30" s="48"/>
      <c r="W30" s="41"/>
      <c r="X30" s="73"/>
      <c r="Y30" s="73"/>
      <c r="Z30" s="48"/>
      <c r="AA30" s="48"/>
      <c r="AB30" s="73"/>
      <c r="AC30" s="41"/>
      <c r="AD30" s="73">
        <v>119504247</v>
      </c>
      <c r="AE30" s="48"/>
      <c r="AF30" s="87"/>
      <c r="AG30" s="48"/>
      <c r="AH30" s="14">
        <f t="shared" si="0"/>
        <v>137610951</v>
      </c>
    </row>
    <row r="31" spans="1:35">
      <c r="A31" s="15" t="s">
        <v>21</v>
      </c>
      <c r="B31" s="11"/>
      <c r="C31" s="13"/>
      <c r="D31" s="42">
        <v>5555051</v>
      </c>
      <c r="E31" s="48"/>
      <c r="F31" s="48"/>
      <c r="G31" s="48"/>
      <c r="H31" s="73">
        <v>48124058</v>
      </c>
      <c r="I31" s="73">
        <v>192496234</v>
      </c>
      <c r="J31" s="78"/>
      <c r="K31" s="78"/>
      <c r="L31" s="41"/>
      <c r="M31" s="41"/>
      <c r="N31" s="48"/>
      <c r="O31" s="48"/>
      <c r="P31" s="41"/>
      <c r="Q31" s="41"/>
      <c r="R31" s="73"/>
      <c r="S31" s="48"/>
      <c r="T31" s="73"/>
      <c r="U31" s="73">
        <f>214046973-53895474</f>
        <v>160151499</v>
      </c>
      <c r="V31" s="48"/>
      <c r="W31" s="41"/>
      <c r="X31" s="48"/>
      <c r="Y31" s="48"/>
      <c r="Z31" s="73"/>
      <c r="AA31" s="73"/>
      <c r="AB31" s="48"/>
      <c r="AC31" s="41"/>
      <c r="AD31" s="48"/>
      <c r="AE31" s="48"/>
      <c r="AF31" s="48"/>
      <c r="AG31" s="48"/>
      <c r="AH31" s="14">
        <f t="shared" si="0"/>
        <v>406326842</v>
      </c>
      <c r="AI31" s="17"/>
    </row>
    <row r="32" spans="1:35">
      <c r="A32" s="15" t="s">
        <v>22</v>
      </c>
      <c r="B32" s="11"/>
      <c r="C32" s="13"/>
      <c r="D32" s="41"/>
      <c r="E32" s="48"/>
      <c r="F32" s="48"/>
      <c r="G32" s="48"/>
      <c r="H32" s="48"/>
      <c r="I32" s="48"/>
      <c r="J32" s="78"/>
      <c r="K32" s="78"/>
      <c r="L32" s="73"/>
      <c r="M32" s="48"/>
      <c r="N32" s="48"/>
      <c r="O32" s="73">
        <v>35702333</v>
      </c>
      <c r="P32" s="48"/>
      <c r="Q32" s="48"/>
      <c r="R32" s="48"/>
      <c r="S32" s="48"/>
      <c r="T32" s="73"/>
      <c r="U32" s="48"/>
      <c r="V32" s="48"/>
      <c r="W32" s="41"/>
      <c r="X32" s="48"/>
      <c r="Y32" s="48"/>
      <c r="Z32" s="48"/>
      <c r="AA32" s="48"/>
      <c r="AB32" s="73">
        <f>7323996+70503092-998726-9614058</f>
        <v>67214304</v>
      </c>
      <c r="AC32" s="41"/>
      <c r="AD32" s="48"/>
      <c r="AE32" s="48"/>
      <c r="AF32" s="48"/>
      <c r="AG32" s="48"/>
      <c r="AH32" s="14">
        <f t="shared" si="0"/>
        <v>102916637</v>
      </c>
      <c r="AI32" s="17"/>
    </row>
    <row r="33" spans="1:37">
      <c r="A33" s="15" t="s">
        <v>193</v>
      </c>
      <c r="B33" s="11"/>
      <c r="C33" s="13"/>
      <c r="D33" s="41"/>
      <c r="E33" s="48"/>
      <c r="F33" s="50"/>
      <c r="G33" s="73"/>
      <c r="H33" s="48"/>
      <c r="I33" s="48"/>
      <c r="J33" s="78"/>
      <c r="K33" s="78"/>
      <c r="L33" s="73"/>
      <c r="M33" s="48"/>
      <c r="N33" s="48"/>
      <c r="O33" s="41"/>
      <c r="P33" s="41"/>
      <c r="Q33" s="41"/>
      <c r="R33" s="41"/>
      <c r="S33" s="41"/>
      <c r="T33" s="41"/>
      <c r="U33" s="73"/>
      <c r="V33" s="48"/>
      <c r="W33" s="41"/>
      <c r="X33" s="41"/>
      <c r="Y33" s="41"/>
      <c r="Z33" s="41"/>
      <c r="AA33" s="41"/>
      <c r="AB33" s="50"/>
      <c r="AC33" s="41"/>
      <c r="AD33" s="48"/>
      <c r="AE33" s="41"/>
      <c r="AF33" s="65"/>
      <c r="AG33" s="48"/>
      <c r="AH33" s="14"/>
      <c r="AI33" s="17"/>
    </row>
    <row r="34" spans="1:37">
      <c r="A34" s="15" t="s">
        <v>194</v>
      </c>
      <c r="B34" s="11"/>
      <c r="C34" s="78"/>
      <c r="D34" s="78"/>
      <c r="E34" s="41"/>
      <c r="F34" s="50"/>
      <c r="G34" s="41"/>
      <c r="H34" s="41"/>
      <c r="I34" s="41"/>
      <c r="J34" s="78"/>
      <c r="K34" s="78"/>
      <c r="L34" s="73"/>
      <c r="M34" s="48"/>
      <c r="N34" s="41"/>
      <c r="O34" s="41"/>
      <c r="P34" s="41"/>
      <c r="Q34" s="41"/>
      <c r="R34" s="41"/>
      <c r="S34" s="41"/>
      <c r="T34" s="41"/>
      <c r="U34" s="41"/>
      <c r="V34" s="48"/>
      <c r="W34" s="41"/>
      <c r="X34" s="41"/>
      <c r="Y34" s="41"/>
      <c r="Z34" s="41"/>
      <c r="AA34" s="41"/>
      <c r="AB34" s="41"/>
      <c r="AC34" s="41"/>
      <c r="AD34" s="41"/>
      <c r="AE34" s="41"/>
      <c r="AF34" s="86">
        <v>296293200</v>
      </c>
      <c r="AG34" s="48"/>
      <c r="AH34" s="14">
        <f>SUM(F34:AG34)</f>
        <v>296293200</v>
      </c>
      <c r="AI34" s="17"/>
    </row>
    <row r="35" spans="1:37">
      <c r="A35" s="15" t="s">
        <v>192</v>
      </c>
      <c r="B35" s="11"/>
      <c r="C35" s="78"/>
      <c r="D35" s="78"/>
      <c r="E35" s="41"/>
      <c r="F35" s="50"/>
      <c r="G35" s="41"/>
      <c r="H35" s="41"/>
      <c r="I35" s="41"/>
      <c r="J35" s="78"/>
      <c r="K35" s="78"/>
      <c r="L35" s="73"/>
      <c r="M35" s="48"/>
      <c r="N35" s="41"/>
      <c r="O35" s="41"/>
      <c r="P35" s="41"/>
      <c r="Q35" s="41"/>
      <c r="R35" s="41"/>
      <c r="S35" s="41"/>
      <c r="T35" s="41"/>
      <c r="U35" s="41"/>
      <c r="V35" s="48"/>
      <c r="W35" s="41"/>
      <c r="X35" s="41"/>
      <c r="Y35" s="41"/>
      <c r="Z35" s="41"/>
      <c r="AA35" s="41"/>
      <c r="AB35" s="41"/>
      <c r="AC35" s="41"/>
      <c r="AD35" s="41"/>
      <c r="AE35" s="41"/>
      <c r="AF35" s="86">
        <v>296293200</v>
      </c>
      <c r="AG35" s="48"/>
      <c r="AH35" s="14"/>
      <c r="AI35" s="17"/>
    </row>
    <row r="36" spans="1:37">
      <c r="A36" s="15" t="s">
        <v>256</v>
      </c>
      <c r="B36" s="11"/>
      <c r="C36" s="78"/>
      <c r="D36" s="78"/>
      <c r="E36" s="41"/>
      <c r="F36" s="50"/>
      <c r="G36" s="41"/>
      <c r="H36" s="41"/>
      <c r="I36" s="41"/>
      <c r="J36" s="78"/>
      <c r="K36" s="78"/>
      <c r="L36" s="73"/>
      <c r="M36" s="48"/>
      <c r="N36" s="41"/>
      <c r="O36" s="41"/>
      <c r="P36" s="41"/>
      <c r="Q36" s="41"/>
      <c r="R36" s="41"/>
      <c r="S36" s="41"/>
      <c r="T36" s="41"/>
      <c r="U36" s="41"/>
      <c r="V36" s="48"/>
      <c r="W36" s="41"/>
      <c r="X36" s="41"/>
      <c r="Y36" s="41"/>
      <c r="Z36" s="41"/>
      <c r="AA36" s="41"/>
      <c r="AB36" s="41"/>
      <c r="AC36" s="41"/>
      <c r="AD36" s="41"/>
      <c r="AE36" s="94">
        <v>237000000</v>
      </c>
      <c r="AF36" s="41"/>
      <c r="AG36" s="48"/>
      <c r="AH36" s="14"/>
      <c r="AI36" s="17"/>
    </row>
    <row r="37" spans="1:37">
      <c r="A37" s="15" t="s">
        <v>141</v>
      </c>
      <c r="B37" s="11"/>
      <c r="C37" s="78"/>
      <c r="D37" s="97">
        <f>22869000+5717250</f>
        <v>28586250</v>
      </c>
      <c r="E37" s="41"/>
      <c r="F37" s="41"/>
      <c r="G37" s="41"/>
      <c r="H37" s="41"/>
      <c r="I37" s="41"/>
      <c r="J37" s="78"/>
      <c r="K37" s="78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50"/>
      <c r="AF37" s="41"/>
      <c r="AG37" s="73"/>
      <c r="AH37" s="14">
        <f>SUM(G37:AG37)</f>
        <v>0</v>
      </c>
      <c r="AI37" s="17"/>
      <c r="AJ37" s="33">
        <v>245437500</v>
      </c>
      <c r="AK37" s="44">
        <v>44137</v>
      </c>
    </row>
    <row r="38" spans="1:37">
      <c r="A38" s="15" t="s">
        <v>142</v>
      </c>
      <c r="B38" s="11"/>
      <c r="C38" s="78"/>
      <c r="D38" s="78"/>
      <c r="E38" s="41"/>
      <c r="F38" s="41"/>
      <c r="G38" s="41"/>
      <c r="H38" s="41"/>
      <c r="I38" s="41"/>
      <c r="J38" s="78"/>
      <c r="K38" s="78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86">
        <v>45738000</v>
      </c>
      <c r="AG38" s="41"/>
      <c r="AH38" s="14"/>
      <c r="AI38" s="17"/>
      <c r="AJ38" s="82"/>
      <c r="AK38" s="44"/>
    </row>
    <row r="39" spans="1:37">
      <c r="A39" s="15" t="s">
        <v>143</v>
      </c>
      <c r="B39" s="11"/>
      <c r="C39" s="78"/>
      <c r="D39" s="78"/>
      <c r="E39" s="41"/>
      <c r="F39" s="41"/>
      <c r="G39" s="41"/>
      <c r="H39" s="41"/>
      <c r="I39" s="41"/>
      <c r="J39" s="78"/>
      <c r="K39" s="78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86">
        <v>17151750</v>
      </c>
      <c r="AG39" s="41"/>
      <c r="AH39" s="14"/>
      <c r="AI39" s="17"/>
      <c r="AJ39" s="82"/>
      <c r="AK39" s="44"/>
    </row>
    <row r="40" spans="1:37">
      <c r="A40" s="15" t="s">
        <v>144</v>
      </c>
      <c r="B40" s="11"/>
      <c r="C40" s="78"/>
      <c r="D40" s="78"/>
      <c r="E40" s="41"/>
      <c r="F40" s="41"/>
      <c r="G40" s="41"/>
      <c r="H40" s="41"/>
      <c r="I40" s="41"/>
      <c r="J40" s="78"/>
      <c r="K40" s="78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86">
        <v>102910500</v>
      </c>
      <c r="AG40" s="41"/>
      <c r="AH40" s="14"/>
      <c r="AI40" s="17"/>
      <c r="AJ40" s="82"/>
      <c r="AK40" s="44"/>
    </row>
    <row r="41" spans="1:37">
      <c r="A41" s="15" t="s">
        <v>173</v>
      </c>
      <c r="B41" s="11"/>
      <c r="C41" s="78"/>
      <c r="D41" s="78"/>
      <c r="E41" s="41"/>
      <c r="F41" s="41"/>
      <c r="G41" s="41"/>
      <c r="H41" s="41"/>
      <c r="I41" s="41"/>
      <c r="J41" s="78"/>
      <c r="K41" s="78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86">
        <v>26145900</v>
      </c>
      <c r="AG41" s="41"/>
      <c r="AH41" s="14"/>
      <c r="AI41" s="17"/>
      <c r="AJ41" s="82"/>
      <c r="AK41" s="44"/>
    </row>
    <row r="42" spans="1:37">
      <c r="A42" s="15" t="s">
        <v>174</v>
      </c>
      <c r="B42" s="11"/>
      <c r="C42" s="78"/>
      <c r="D42" s="78"/>
      <c r="E42" s="41"/>
      <c r="F42" s="41"/>
      <c r="G42" s="41"/>
      <c r="H42" s="41"/>
      <c r="I42" s="41"/>
      <c r="J42" s="78"/>
      <c r="K42" s="78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86">
        <v>14445090</v>
      </c>
      <c r="AG42" s="41"/>
      <c r="AH42" s="14"/>
      <c r="AI42" s="17"/>
      <c r="AJ42" s="82"/>
      <c r="AK42" s="136">
        <f>6325269+60889034</f>
        <v>67214303</v>
      </c>
    </row>
    <row r="43" spans="1:37">
      <c r="A43" s="15" t="s">
        <v>246</v>
      </c>
      <c r="B43" s="11"/>
      <c r="C43" s="78"/>
      <c r="D43" s="78"/>
      <c r="E43" s="41"/>
      <c r="F43" s="41"/>
      <c r="G43" s="41"/>
      <c r="H43" s="41"/>
      <c r="I43" s="41"/>
      <c r="J43" s="78"/>
      <c r="K43" s="78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86">
        <v>59647500</v>
      </c>
      <c r="AG43" s="41"/>
      <c r="AH43" s="14"/>
      <c r="AI43" s="17"/>
      <c r="AJ43" s="82"/>
      <c r="AK43" s="136"/>
    </row>
    <row r="44" spans="1:37">
      <c r="A44" s="15" t="s">
        <v>247</v>
      </c>
      <c r="B44" s="11"/>
      <c r="C44" s="78"/>
      <c r="D44" s="78"/>
      <c r="E44" s="41"/>
      <c r="F44" s="41"/>
      <c r="G44" s="41"/>
      <c r="H44" s="41"/>
      <c r="I44" s="41"/>
      <c r="J44" s="78"/>
      <c r="K44" s="78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86">
        <v>47718000</v>
      </c>
      <c r="AG44" s="41"/>
      <c r="AH44" s="14"/>
      <c r="AI44" s="17"/>
      <c r="AJ44" s="82"/>
      <c r="AK44" s="136"/>
    </row>
    <row r="45" spans="1:37">
      <c r="A45" s="15" t="s">
        <v>248</v>
      </c>
      <c r="B45" s="11"/>
      <c r="C45" s="78"/>
      <c r="D45" s="78"/>
      <c r="E45" s="41"/>
      <c r="F45" s="41"/>
      <c r="G45" s="41"/>
      <c r="H45" s="41"/>
      <c r="I45" s="41"/>
      <c r="J45" s="78"/>
      <c r="K45" s="78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86">
        <v>56382750</v>
      </c>
      <c r="AG45" s="41"/>
      <c r="AH45" s="14"/>
      <c r="AI45" s="17"/>
      <c r="AJ45" s="82"/>
      <c r="AK45" s="136"/>
    </row>
    <row r="46" spans="1:37">
      <c r="A46" s="15" t="s">
        <v>249</v>
      </c>
      <c r="B46" s="11"/>
      <c r="C46" s="78"/>
      <c r="D46" s="78"/>
      <c r="E46" s="41"/>
      <c r="F46" s="41"/>
      <c r="G46" s="41"/>
      <c r="H46" s="41"/>
      <c r="I46" s="41"/>
      <c r="J46" s="78"/>
      <c r="K46" s="78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86">
        <v>89471250</v>
      </c>
      <c r="AG46" s="41"/>
      <c r="AH46" s="14"/>
      <c r="AI46" s="17"/>
      <c r="AJ46" s="82"/>
      <c r="AK46" s="136"/>
    </row>
    <row r="47" spans="1:37">
      <c r="A47" s="15" t="s">
        <v>250</v>
      </c>
      <c r="B47" s="11"/>
      <c r="C47" s="78"/>
      <c r="D47" s="78"/>
      <c r="E47" s="41"/>
      <c r="F47" s="41"/>
      <c r="G47" s="41"/>
      <c r="H47" s="41"/>
      <c r="I47" s="41"/>
      <c r="J47" s="78"/>
      <c r="K47" s="78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86">
        <v>101400750</v>
      </c>
      <c r="AG47" s="41"/>
      <c r="AH47" s="14"/>
      <c r="AI47" s="17"/>
      <c r="AJ47" s="82"/>
      <c r="AK47" s="136"/>
    </row>
    <row r="48" spans="1:37">
      <c r="A48" s="15" t="s">
        <v>188</v>
      </c>
      <c r="B48" s="11"/>
      <c r="C48" s="78"/>
      <c r="D48" s="78"/>
      <c r="E48" s="41"/>
      <c r="F48" s="41"/>
      <c r="G48" s="41"/>
      <c r="H48" s="41"/>
      <c r="I48" s="41"/>
      <c r="J48" s="78"/>
      <c r="K48" s="78"/>
      <c r="L48" s="41"/>
      <c r="M48" s="41"/>
      <c r="N48" s="41"/>
      <c r="O48" s="41"/>
      <c r="P48" s="41"/>
      <c r="Q48" s="41"/>
      <c r="R48" s="94">
        <v>119200015</v>
      </c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50"/>
      <c r="AF48" s="41"/>
      <c r="AG48" s="41"/>
      <c r="AH48" s="14"/>
      <c r="AI48" s="17"/>
      <c r="AJ48" s="82"/>
      <c r="AK48" s="44"/>
    </row>
    <row r="49" spans="1:37">
      <c r="A49" s="15" t="s">
        <v>208</v>
      </c>
      <c r="B49" s="11"/>
      <c r="C49" s="78"/>
      <c r="D49" s="78"/>
      <c r="E49" s="41"/>
      <c r="F49" s="41"/>
      <c r="G49" s="41"/>
      <c r="H49" s="41"/>
      <c r="I49" s="41"/>
      <c r="J49" s="78"/>
      <c r="K49" s="78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86">
        <v>498757907</v>
      </c>
      <c r="AG49" s="41"/>
      <c r="AH49" s="14"/>
      <c r="AI49" s="17"/>
      <c r="AJ49" s="82"/>
      <c r="AK49" s="44"/>
    </row>
    <row r="50" spans="1:37">
      <c r="A50" s="15" t="s">
        <v>209</v>
      </c>
      <c r="B50" s="11"/>
      <c r="C50" s="78"/>
      <c r="D50" s="78"/>
      <c r="E50" s="41"/>
      <c r="F50" s="41"/>
      <c r="G50" s="41"/>
      <c r="H50" s="41"/>
      <c r="I50" s="41"/>
      <c r="J50" s="78"/>
      <c r="K50" s="78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86">
        <v>174600010</v>
      </c>
      <c r="AG50" s="41"/>
      <c r="AH50" s="14"/>
      <c r="AI50" s="17"/>
      <c r="AJ50" s="82"/>
      <c r="AK50" s="44"/>
    </row>
    <row r="51" spans="1:37">
      <c r="A51" s="15" t="s">
        <v>207</v>
      </c>
      <c r="B51" s="11"/>
      <c r="C51" s="78"/>
      <c r="D51" s="78"/>
      <c r="E51" s="41"/>
      <c r="F51" s="41"/>
      <c r="G51" s="41"/>
      <c r="H51" s="41"/>
      <c r="I51" s="41"/>
      <c r="J51" s="78"/>
      <c r="K51" s="78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65">
        <v>172400030</v>
      </c>
      <c r="AC51" s="41"/>
      <c r="AD51" s="41"/>
      <c r="AE51" s="41"/>
      <c r="AF51" s="50"/>
      <c r="AG51" s="41"/>
      <c r="AH51" s="14"/>
      <c r="AI51" s="17"/>
      <c r="AJ51" s="82"/>
      <c r="AK51" s="44"/>
    </row>
    <row r="52" spans="1:37">
      <c r="A52" s="15" t="s">
        <v>245</v>
      </c>
      <c r="B52" s="11"/>
      <c r="C52" s="78"/>
      <c r="D52" s="78"/>
      <c r="E52" s="41"/>
      <c r="F52" s="41"/>
      <c r="G52" s="41"/>
      <c r="H52" s="41"/>
      <c r="I52" s="41"/>
      <c r="J52" s="78"/>
      <c r="K52" s="78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65"/>
      <c r="AC52" s="41"/>
      <c r="AD52" s="41"/>
      <c r="AE52" s="41"/>
      <c r="AF52" s="86">
        <v>260658101</v>
      </c>
      <c r="AG52" s="41"/>
      <c r="AH52" s="14"/>
      <c r="AI52" s="17"/>
      <c r="AJ52" s="82"/>
      <c r="AK52" s="44"/>
    </row>
    <row r="53" spans="1:37">
      <c r="A53" s="15" t="s">
        <v>245</v>
      </c>
      <c r="B53" s="11"/>
      <c r="C53" s="78"/>
      <c r="D53" s="78"/>
      <c r="E53" s="41"/>
      <c r="F53" s="41"/>
      <c r="G53" s="41"/>
      <c r="H53" s="41"/>
      <c r="I53" s="41"/>
      <c r="J53" s="78"/>
      <c r="K53" s="78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65"/>
      <c r="AC53" s="41"/>
      <c r="AD53" s="41"/>
      <c r="AE53" s="41"/>
      <c r="AF53" s="86">
        <v>52702516</v>
      </c>
      <c r="AG53" s="41"/>
      <c r="AH53" s="14"/>
      <c r="AI53" s="17"/>
      <c r="AJ53" s="82"/>
      <c r="AK53" s="44"/>
    </row>
    <row r="54" spans="1:37">
      <c r="A54" s="138" t="s">
        <v>254</v>
      </c>
      <c r="B54" s="139"/>
      <c r="C54" s="140"/>
      <c r="D54" s="140"/>
      <c r="E54" s="141"/>
      <c r="F54" s="141"/>
      <c r="G54" s="141"/>
      <c r="H54" s="141"/>
      <c r="I54" s="141"/>
      <c r="J54" s="140"/>
      <c r="K54" s="140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2"/>
      <c r="AC54" s="141"/>
      <c r="AD54" s="41"/>
      <c r="AE54" s="41"/>
      <c r="AF54" s="143">
        <v>33932003</v>
      </c>
      <c r="AG54" s="41"/>
      <c r="AH54" s="14"/>
      <c r="AI54" s="17"/>
      <c r="AJ54" s="82"/>
      <c r="AK54" s="44"/>
    </row>
    <row r="55" spans="1:37">
      <c r="A55" s="138" t="s">
        <v>255</v>
      </c>
      <c r="B55" s="139"/>
      <c r="C55" s="140"/>
      <c r="D55" s="140"/>
      <c r="E55" s="141"/>
      <c r="F55" s="141"/>
      <c r="G55" s="141"/>
      <c r="H55" s="141"/>
      <c r="I55" s="141"/>
      <c r="J55" s="140"/>
      <c r="K55" s="140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2"/>
      <c r="AC55" s="141"/>
      <c r="AD55" s="41"/>
      <c r="AE55" s="41"/>
      <c r="AF55" s="143">
        <v>61988411</v>
      </c>
      <c r="AG55" s="144"/>
      <c r="AH55" s="14"/>
      <c r="AI55" s="17"/>
      <c r="AJ55" s="82"/>
      <c r="AK55" s="44"/>
    </row>
    <row r="56" spans="1:37">
      <c r="A56" s="15" t="s">
        <v>24</v>
      </c>
      <c r="B56" s="11"/>
      <c r="C56" s="86"/>
      <c r="D56" s="41"/>
      <c r="E56" s="41"/>
      <c r="F56" s="48"/>
      <c r="G56" s="41"/>
      <c r="H56" s="73"/>
      <c r="I56" s="41"/>
      <c r="J56" s="48"/>
      <c r="K56" s="78"/>
      <c r="L56" s="78"/>
      <c r="M56" s="50"/>
      <c r="N56" s="41"/>
      <c r="O56" s="41"/>
      <c r="P56" s="102"/>
      <c r="Q56" s="41"/>
      <c r="R56" s="50"/>
      <c r="S56" s="41"/>
      <c r="T56" s="50"/>
      <c r="U56" s="50"/>
      <c r="V56" s="41"/>
      <c r="W56" s="41"/>
      <c r="X56" s="50"/>
      <c r="Y56" s="41"/>
      <c r="Z56" s="41"/>
      <c r="AA56" s="41"/>
      <c r="AB56" s="41"/>
      <c r="AC56" s="41"/>
      <c r="AD56" s="87"/>
      <c r="AE56" s="41"/>
      <c r="AF56" s="41"/>
      <c r="AG56" s="41"/>
      <c r="AH56" s="14">
        <f>SUM(F56:AF56)</f>
        <v>0</v>
      </c>
      <c r="AI56" s="17"/>
    </row>
    <row r="57" spans="1:37">
      <c r="A57" s="15" t="s">
        <v>152</v>
      </c>
      <c r="B57" s="11"/>
      <c r="C57" s="78"/>
      <c r="D57" s="78"/>
      <c r="E57" s="41"/>
      <c r="F57" s="41"/>
      <c r="G57" s="70">
        <f>260475823+149127822+130965627+20619588</f>
        <v>561188860</v>
      </c>
      <c r="H57" s="41"/>
      <c r="I57" s="41"/>
      <c r="J57" s="41"/>
      <c r="K57" s="78"/>
      <c r="L57" s="41"/>
      <c r="M57" s="41"/>
      <c r="N57" s="41"/>
      <c r="O57" s="41"/>
      <c r="P57" s="41"/>
      <c r="Q57" s="41"/>
      <c r="R57" s="41"/>
      <c r="S57" s="41"/>
      <c r="T57" s="41"/>
      <c r="U57" s="50"/>
      <c r="V57" s="41"/>
      <c r="W57" s="41"/>
      <c r="X57" s="41"/>
      <c r="Y57" s="41"/>
      <c r="Z57" s="41"/>
      <c r="AA57" s="41"/>
      <c r="AB57" s="41"/>
      <c r="AC57" s="42">
        <v>1012692161</v>
      </c>
      <c r="AD57" s="87"/>
      <c r="AE57" s="41"/>
      <c r="AF57" s="41"/>
      <c r="AG57" s="41"/>
      <c r="AH57" s="14">
        <f>SUM(N57:AF57)</f>
        <v>1012692161</v>
      </c>
      <c r="AI57" s="17"/>
      <c r="AJ57" s="48">
        <v>127684117</v>
      </c>
    </row>
    <row r="58" spans="1:37">
      <c r="A58" s="15" t="s">
        <v>153</v>
      </c>
      <c r="B58" s="11"/>
      <c r="C58" s="78"/>
      <c r="D58" s="78"/>
      <c r="E58" s="41"/>
      <c r="F58" s="41"/>
      <c r="G58" s="70"/>
      <c r="H58" s="41"/>
      <c r="I58" s="41"/>
      <c r="J58" s="41"/>
      <c r="K58" s="78"/>
      <c r="L58" s="41"/>
      <c r="M58" s="41"/>
      <c r="N58" s="41"/>
      <c r="O58" s="41"/>
      <c r="P58" s="41"/>
      <c r="Q58" s="41"/>
      <c r="R58" s="41"/>
      <c r="S58" s="41"/>
      <c r="T58" s="41"/>
      <c r="U58" s="50"/>
      <c r="V58" s="41"/>
      <c r="W58" s="41"/>
      <c r="X58" s="41"/>
      <c r="Y58" s="41"/>
      <c r="Z58" s="41"/>
      <c r="AA58" s="41"/>
      <c r="AB58" s="41"/>
      <c r="AC58" s="42"/>
      <c r="AD58" s="41"/>
      <c r="AE58" s="41"/>
      <c r="AF58" s="86">
        <v>299546940</v>
      </c>
      <c r="AG58" s="41"/>
      <c r="AH58" s="14"/>
      <c r="AI58" s="17"/>
      <c r="AJ58" s="106"/>
    </row>
    <row r="59" spans="1:37">
      <c r="A59" s="15" t="s">
        <v>154</v>
      </c>
      <c r="B59" s="11"/>
      <c r="C59" s="78"/>
      <c r="D59" s="78"/>
      <c r="E59" s="41"/>
      <c r="F59" s="41"/>
      <c r="G59" s="70"/>
      <c r="H59" s="41"/>
      <c r="I59" s="41"/>
      <c r="J59" s="41"/>
      <c r="K59" s="78"/>
      <c r="L59" s="41"/>
      <c r="M59" s="41"/>
      <c r="N59" s="41"/>
      <c r="O59" s="41"/>
      <c r="P59" s="41"/>
      <c r="Q59" s="41"/>
      <c r="R59" s="41"/>
      <c r="S59" s="41"/>
      <c r="T59" s="41"/>
      <c r="U59" s="50"/>
      <c r="V59" s="41"/>
      <c r="W59" s="41"/>
      <c r="X59" s="41"/>
      <c r="Y59" s="41"/>
      <c r="Z59" s="41"/>
      <c r="AA59" s="41"/>
      <c r="AB59" s="41"/>
      <c r="AC59" s="42"/>
      <c r="AD59" s="41"/>
      <c r="AE59" s="41"/>
      <c r="AF59" s="86">
        <v>1159262493</v>
      </c>
      <c r="AG59" s="41"/>
      <c r="AH59" s="14"/>
      <c r="AI59" s="17"/>
      <c r="AJ59" s="106"/>
    </row>
    <row r="60" spans="1:37">
      <c r="A60" s="15" t="s">
        <v>180</v>
      </c>
      <c r="B60" s="11"/>
      <c r="C60" s="48"/>
      <c r="D60" s="41"/>
      <c r="E60" s="41"/>
      <c r="F60" s="41"/>
      <c r="G60" s="41"/>
      <c r="H60" s="41"/>
      <c r="I60" s="41"/>
      <c r="J60" s="41"/>
      <c r="K60" s="78"/>
      <c r="L60" s="41"/>
      <c r="M60" s="41"/>
      <c r="N60" s="41"/>
      <c r="O60" s="41"/>
      <c r="P60" s="65">
        <v>532707239</v>
      </c>
      <c r="Q60" s="41"/>
      <c r="R60" s="41"/>
      <c r="S60" s="41"/>
      <c r="T60" s="13"/>
      <c r="U60" s="50"/>
      <c r="V60" s="41"/>
      <c r="W60" s="41"/>
      <c r="X60" s="41"/>
      <c r="Y60" s="41"/>
      <c r="Z60" s="41"/>
      <c r="AA60" s="50"/>
      <c r="AB60" s="41"/>
      <c r="AC60" s="41"/>
      <c r="AD60" s="41"/>
      <c r="AE60" s="87"/>
      <c r="AF60" s="41"/>
      <c r="AG60" s="41"/>
      <c r="AH60" s="14"/>
      <c r="AI60" s="17"/>
      <c r="AJ60" s="106"/>
      <c r="AK60" s="3" t="s">
        <v>257</v>
      </c>
    </row>
    <row r="61" spans="1:37">
      <c r="A61" s="15" t="s">
        <v>180</v>
      </c>
      <c r="B61" s="11"/>
      <c r="C61" s="48"/>
      <c r="D61" s="41"/>
      <c r="E61" s="41"/>
      <c r="F61" s="41"/>
      <c r="G61" s="41"/>
      <c r="H61" s="41"/>
      <c r="I61" s="41"/>
      <c r="J61" s="41"/>
      <c r="K61" s="78"/>
      <c r="L61" s="41"/>
      <c r="M61" s="41"/>
      <c r="N61" s="41"/>
      <c r="O61" s="41"/>
      <c r="P61" s="41"/>
      <c r="Q61" s="41"/>
      <c r="R61" s="65">
        <v>981060898</v>
      </c>
      <c r="S61" s="41"/>
      <c r="T61" s="13"/>
      <c r="U61" s="50"/>
      <c r="V61" s="41"/>
      <c r="W61" s="41"/>
      <c r="X61" s="41"/>
      <c r="Y61" s="41"/>
      <c r="Z61" s="41"/>
      <c r="AA61" s="50"/>
      <c r="AB61" s="41"/>
      <c r="AC61" s="41"/>
      <c r="AD61" s="41"/>
      <c r="AE61" s="50"/>
      <c r="AF61" s="41"/>
      <c r="AG61" s="41"/>
      <c r="AH61" s="14"/>
      <c r="AI61" s="17"/>
      <c r="AJ61" s="106"/>
    </row>
    <row r="62" spans="1:37">
      <c r="A62" s="15" t="s">
        <v>158</v>
      </c>
      <c r="B62" s="11"/>
      <c r="C62" s="78"/>
      <c r="D62" s="78"/>
      <c r="E62" s="41"/>
      <c r="F62" s="41"/>
      <c r="G62" s="41"/>
      <c r="H62" s="41"/>
      <c r="I62" s="41"/>
      <c r="J62" s="78"/>
      <c r="K62" s="78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8"/>
      <c r="AF62" s="48">
        <v>61003007</v>
      </c>
      <c r="AG62" s="41"/>
      <c r="AH62" s="14"/>
      <c r="AI62" s="17"/>
    </row>
    <row r="63" spans="1:37">
      <c r="A63" s="15" t="s">
        <v>159</v>
      </c>
      <c r="B63" s="11"/>
      <c r="C63" s="78"/>
      <c r="D63" s="78"/>
      <c r="E63" s="41"/>
      <c r="F63" s="41"/>
      <c r="G63" s="41"/>
      <c r="H63" s="41"/>
      <c r="I63" s="41"/>
      <c r="J63" s="78"/>
      <c r="K63" s="78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8"/>
      <c r="AF63" s="48">
        <v>127319117</v>
      </c>
      <c r="AG63" s="41"/>
      <c r="AH63" s="14"/>
      <c r="AI63" s="17"/>
    </row>
    <row r="64" spans="1:37">
      <c r="A64" s="15" t="s">
        <v>160</v>
      </c>
      <c r="B64" s="11"/>
      <c r="C64" s="78"/>
      <c r="D64" s="78"/>
      <c r="E64" s="41"/>
      <c r="F64" s="41"/>
      <c r="G64" s="41"/>
      <c r="H64" s="41"/>
      <c r="I64" s="41"/>
      <c r="J64" s="78"/>
      <c r="K64" s="78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8"/>
      <c r="AF64" s="48">
        <v>12869993</v>
      </c>
      <c r="AG64" s="41"/>
      <c r="AH64" s="14"/>
      <c r="AI64" s="17"/>
    </row>
    <row r="65" spans="1:35">
      <c r="A65" s="15" t="s">
        <v>161</v>
      </c>
      <c r="B65" s="11"/>
      <c r="C65" s="78"/>
      <c r="D65" s="78"/>
      <c r="E65" s="41"/>
      <c r="F65" s="41"/>
      <c r="G65" s="41"/>
      <c r="H65" s="41"/>
      <c r="I65" s="41"/>
      <c r="J65" s="78"/>
      <c r="K65" s="78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8"/>
      <c r="AF65" s="48">
        <v>149745116</v>
      </c>
      <c r="AG65" s="41"/>
      <c r="AH65" s="14"/>
      <c r="AI65" s="17"/>
    </row>
    <row r="66" spans="1:35">
      <c r="A66" s="15" t="s">
        <v>177</v>
      </c>
      <c r="B66" s="11"/>
      <c r="C66" s="78"/>
      <c r="D66" s="78"/>
      <c r="E66" s="41"/>
      <c r="F66" s="41"/>
      <c r="G66" s="41"/>
      <c r="H66" s="41"/>
      <c r="I66" s="41"/>
      <c r="J66" s="78"/>
      <c r="K66" s="78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8"/>
      <c r="AF66" s="48">
        <v>16444991</v>
      </c>
      <c r="AG66" s="41"/>
      <c r="AH66" s="14"/>
      <c r="AI66" s="17"/>
    </row>
    <row r="67" spans="1:35">
      <c r="A67" s="15" t="s">
        <v>178</v>
      </c>
      <c r="B67" s="11"/>
      <c r="C67" s="78"/>
      <c r="D67" s="78"/>
      <c r="E67" s="41"/>
      <c r="F67" s="41"/>
      <c r="G67" s="41"/>
      <c r="H67" s="41"/>
      <c r="I67" s="41"/>
      <c r="J67" s="78"/>
      <c r="K67" s="78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8"/>
      <c r="AF67" s="48">
        <v>3574998</v>
      </c>
      <c r="AG67" s="41"/>
      <c r="AH67" s="14"/>
      <c r="AI67" s="17"/>
    </row>
    <row r="68" spans="1:35">
      <c r="A68" s="15" t="s">
        <v>179</v>
      </c>
      <c r="B68" s="11"/>
      <c r="C68" s="78"/>
      <c r="D68" s="78"/>
      <c r="E68" s="41"/>
      <c r="F68" s="41"/>
      <c r="G68" s="41"/>
      <c r="H68" s="41"/>
      <c r="I68" s="41"/>
      <c r="J68" s="78"/>
      <c r="K68" s="78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8"/>
      <c r="AF68" s="48">
        <v>10724994</v>
      </c>
      <c r="AG68" s="41"/>
      <c r="AH68" s="14"/>
      <c r="AI68" s="17"/>
    </row>
    <row r="69" spans="1:35">
      <c r="A69" s="15" t="s">
        <v>251</v>
      </c>
      <c r="B69" s="11"/>
      <c r="C69" s="48"/>
      <c r="D69" s="41"/>
      <c r="E69" s="41"/>
      <c r="F69" s="42"/>
      <c r="G69" s="73"/>
      <c r="H69" s="73"/>
      <c r="I69" s="73">
        <v>96305580</v>
      </c>
      <c r="J69" s="65">
        <v>256741380</v>
      </c>
      <c r="K69" s="78"/>
      <c r="L69" s="73"/>
      <c r="M69" s="48"/>
      <c r="N69" s="41"/>
      <c r="O69" s="41"/>
      <c r="P69" s="73">
        <f>420317100-8406342</f>
        <v>411910758</v>
      </c>
      <c r="Q69" s="48"/>
      <c r="R69" s="42"/>
      <c r="S69" s="73"/>
      <c r="T69" s="73"/>
      <c r="U69" s="41"/>
      <c r="V69" s="48"/>
      <c r="W69" s="41"/>
      <c r="X69" s="41"/>
      <c r="Y69" s="65">
        <f>481545540-9630911</f>
        <v>471914629</v>
      </c>
      <c r="Z69" s="73"/>
      <c r="AA69" s="41"/>
      <c r="AB69" s="73"/>
      <c r="AC69" s="41"/>
      <c r="AD69" s="41"/>
      <c r="AE69" s="48"/>
      <c r="AF69" s="73">
        <v>376653514</v>
      </c>
      <c r="AG69" s="41"/>
      <c r="AH69" s="14"/>
      <c r="AI69" s="17"/>
    </row>
    <row r="70" spans="1:35" ht="15">
      <c r="A70" s="15" t="s">
        <v>27</v>
      </c>
      <c r="B70" s="11"/>
      <c r="C70" s="48"/>
      <c r="D70" s="41"/>
      <c r="E70" s="41"/>
      <c r="F70" s="48"/>
      <c r="G70" s="13"/>
      <c r="H70" s="41"/>
      <c r="I70" s="51"/>
      <c r="J70" s="78"/>
      <c r="K70" s="78"/>
      <c r="L70" s="73"/>
      <c r="M70" s="48"/>
      <c r="N70" s="41"/>
      <c r="O70" s="41"/>
      <c r="P70" s="48"/>
      <c r="Q70" s="73"/>
      <c r="R70" s="41"/>
      <c r="S70" s="48"/>
      <c r="T70" s="48"/>
      <c r="U70" s="42">
        <v>88695000</v>
      </c>
      <c r="V70" s="48"/>
      <c r="W70" s="41"/>
      <c r="X70" s="41"/>
      <c r="Y70" s="41"/>
      <c r="Z70" s="48"/>
      <c r="AA70" s="41"/>
      <c r="AB70" s="73"/>
      <c r="AC70" s="41"/>
      <c r="AD70" s="41"/>
      <c r="AE70" s="48"/>
      <c r="AF70" s="48"/>
      <c r="AG70" s="48"/>
      <c r="AH70" s="14">
        <f>SUM(C70:AG70)</f>
        <v>88695000</v>
      </c>
      <c r="AI70" s="17"/>
    </row>
    <row r="71" spans="1:35">
      <c r="A71" s="15" t="s">
        <v>165</v>
      </c>
      <c r="B71" s="11"/>
      <c r="C71" s="78"/>
      <c r="D71" s="78"/>
      <c r="E71" s="41"/>
      <c r="F71" s="41"/>
      <c r="G71" s="41"/>
      <c r="H71" s="41"/>
      <c r="I71" s="41"/>
      <c r="J71" s="78"/>
      <c r="K71" s="78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8"/>
      <c r="W71" s="41"/>
      <c r="X71" s="41"/>
      <c r="Y71" s="41"/>
      <c r="Z71" s="41"/>
      <c r="AA71" s="41"/>
      <c r="AB71" s="41"/>
      <c r="AC71" s="41"/>
      <c r="AD71" s="41"/>
      <c r="AE71" s="16"/>
      <c r="AF71" s="16">
        <v>29350500</v>
      </c>
      <c r="AG71" s="48"/>
      <c r="AH71" s="14"/>
      <c r="AI71" s="17"/>
    </row>
    <row r="72" spans="1:35">
      <c r="A72" s="134" t="s">
        <v>182</v>
      </c>
      <c r="B72" s="135"/>
      <c r="C72" s="102"/>
      <c r="D72" s="102"/>
      <c r="E72" s="50"/>
      <c r="F72" s="50"/>
      <c r="G72" s="50"/>
      <c r="H72" s="50"/>
      <c r="I72" s="50"/>
      <c r="J72" s="102"/>
      <c r="K72" s="102"/>
      <c r="L72" s="50"/>
      <c r="M72" s="50"/>
      <c r="N72" s="50"/>
      <c r="O72" s="50"/>
      <c r="P72" s="50"/>
      <c r="Q72" s="50"/>
      <c r="R72" s="73">
        <v>7220000</v>
      </c>
      <c r="S72" s="50"/>
      <c r="T72" s="50"/>
      <c r="U72" s="50"/>
      <c r="V72" s="48"/>
      <c r="W72" s="50"/>
      <c r="X72" s="50"/>
      <c r="Y72" s="50"/>
      <c r="Z72" s="50"/>
      <c r="AA72" s="50"/>
      <c r="AB72" s="50"/>
      <c r="AC72" s="41"/>
      <c r="AD72" s="41"/>
      <c r="AE72" s="48"/>
      <c r="AF72" s="48"/>
      <c r="AG72" s="48"/>
      <c r="AH72" s="14"/>
      <c r="AI72" s="17"/>
    </row>
    <row r="73" spans="1:35">
      <c r="A73" s="134" t="s">
        <v>219</v>
      </c>
      <c r="B73" s="135"/>
      <c r="C73" s="102"/>
      <c r="D73" s="102"/>
      <c r="E73" s="50"/>
      <c r="F73" s="50"/>
      <c r="G73" s="50"/>
      <c r="H73" s="50"/>
      <c r="I73" s="50"/>
      <c r="J73" s="102"/>
      <c r="K73" s="102"/>
      <c r="L73" s="50"/>
      <c r="M73" s="50"/>
      <c r="N73" s="50"/>
      <c r="O73" s="50"/>
      <c r="P73" s="50"/>
      <c r="Q73" s="50"/>
      <c r="R73" s="73">
        <v>83500000</v>
      </c>
      <c r="S73" s="50"/>
      <c r="T73" s="50"/>
      <c r="U73" s="50"/>
      <c r="V73" s="48"/>
      <c r="W73" s="50"/>
      <c r="X73" s="50"/>
      <c r="Y73" s="50"/>
      <c r="Z73" s="50"/>
      <c r="AA73" s="50"/>
      <c r="AB73" s="50"/>
      <c r="AC73" s="41"/>
      <c r="AD73" s="41"/>
      <c r="AE73" s="48"/>
      <c r="AF73" s="48"/>
      <c r="AG73" s="48"/>
      <c r="AH73" s="14"/>
      <c r="AI73" s="17"/>
    </row>
    <row r="74" spans="1:35">
      <c r="A74" s="134" t="s">
        <v>220</v>
      </c>
      <c r="B74" s="135"/>
      <c r="C74" s="102"/>
      <c r="D74" s="102"/>
      <c r="E74" s="50"/>
      <c r="F74" s="50"/>
      <c r="G74" s="50"/>
      <c r="H74" s="50"/>
      <c r="I74" s="50"/>
      <c r="J74" s="102"/>
      <c r="K74" s="102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48"/>
      <c r="W74" s="50"/>
      <c r="X74" s="50"/>
      <c r="Y74" s="50"/>
      <c r="Z74" s="50"/>
      <c r="AA74" s="50"/>
      <c r="AB74" s="41"/>
      <c r="AC74" s="41"/>
      <c r="AD74" s="41"/>
      <c r="AE74" s="48"/>
      <c r="AF74" s="48" t="e">
        <f>SUM(#REF!,#REF!)</f>
        <v>#REF!</v>
      </c>
      <c r="AG74" s="48"/>
      <c r="AH74" s="14"/>
      <c r="AI74" s="17"/>
    </row>
    <row r="75" spans="1:35">
      <c r="A75" s="134" t="s">
        <v>221</v>
      </c>
      <c r="B75" s="135"/>
      <c r="C75" s="102"/>
      <c r="D75" s="102"/>
      <c r="E75" s="50"/>
      <c r="F75" s="50"/>
      <c r="G75" s="50"/>
      <c r="H75" s="50"/>
      <c r="I75" s="50"/>
      <c r="J75" s="102"/>
      <c r="K75" s="102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48"/>
      <c r="W75" s="50"/>
      <c r="X75" s="50"/>
      <c r="Y75" s="50"/>
      <c r="Z75" s="50"/>
      <c r="AA75" s="50"/>
      <c r="AB75" s="41"/>
      <c r="AC75" s="41"/>
      <c r="AD75" s="41"/>
      <c r="AE75" s="48"/>
      <c r="AF75" s="48">
        <v>167000000</v>
      </c>
      <c r="AG75" s="48"/>
      <c r="AH75" s="14"/>
      <c r="AI75" s="17"/>
    </row>
    <row r="76" spans="1:35">
      <c r="A76" s="134" t="s">
        <v>222</v>
      </c>
      <c r="B76" s="135"/>
      <c r="C76" s="102"/>
      <c r="D76" s="102"/>
      <c r="E76" s="50"/>
      <c r="F76" s="50"/>
      <c r="G76" s="50"/>
      <c r="H76" s="50"/>
      <c r="I76" s="50"/>
      <c r="J76" s="102"/>
      <c r="K76" s="102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48"/>
      <c r="W76" s="50"/>
      <c r="X76" s="50"/>
      <c r="Y76" s="50"/>
      <c r="Z76" s="50"/>
      <c r="AA76" s="50"/>
      <c r="AB76" s="41"/>
      <c r="AC76" s="41"/>
      <c r="AD76" s="41"/>
      <c r="AE76" s="48"/>
      <c r="AF76" s="48">
        <v>250500</v>
      </c>
      <c r="AG76" s="48"/>
      <c r="AH76" s="14"/>
      <c r="AI76" s="17"/>
    </row>
    <row r="77" spans="1:35">
      <c r="A77" s="134" t="s">
        <v>252</v>
      </c>
      <c r="B77" s="135"/>
      <c r="C77" s="102"/>
      <c r="D77" s="102"/>
      <c r="E77" s="50"/>
      <c r="F77" s="50"/>
      <c r="G77" s="50"/>
      <c r="H77" s="50"/>
      <c r="I77" s="50"/>
      <c r="J77" s="102"/>
      <c r="K77" s="102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48"/>
      <c r="W77" s="50"/>
      <c r="X77" s="50"/>
      <c r="Y77" s="50"/>
      <c r="Z77" s="50"/>
      <c r="AA77" s="50"/>
      <c r="AB77" s="41"/>
      <c r="AC77" s="41"/>
      <c r="AD77" s="41"/>
      <c r="AE77" s="48"/>
      <c r="AF77" s="48">
        <v>18300000</v>
      </c>
      <c r="AG77" s="48"/>
      <c r="AH77" s="14"/>
      <c r="AI77" s="17"/>
    </row>
    <row r="78" spans="1:35">
      <c r="A78" s="134" t="s">
        <v>217</v>
      </c>
      <c r="B78" s="135"/>
      <c r="C78" s="102"/>
      <c r="D78" s="102"/>
      <c r="E78" s="50"/>
      <c r="F78" s="48"/>
      <c r="G78" s="50"/>
      <c r="H78" s="50"/>
      <c r="I78" s="50"/>
      <c r="J78" s="102"/>
      <c r="K78" s="102"/>
      <c r="L78" s="73"/>
      <c r="M78" s="73"/>
      <c r="N78" s="50"/>
      <c r="O78" s="50"/>
      <c r="P78" s="50"/>
      <c r="Q78" s="50"/>
      <c r="R78" s="87">
        <v>64957500</v>
      </c>
      <c r="S78" s="50"/>
      <c r="T78" s="50"/>
      <c r="U78" s="48"/>
      <c r="V78" s="48"/>
      <c r="W78" s="50"/>
      <c r="X78" s="50"/>
      <c r="Y78" s="50"/>
      <c r="Z78" s="50"/>
      <c r="AA78" s="50"/>
      <c r="AB78" s="50"/>
      <c r="AC78" s="41"/>
      <c r="AD78" s="41"/>
      <c r="AE78" s="48"/>
      <c r="AF78" s="48"/>
      <c r="AG78" s="48"/>
      <c r="AH78" s="14"/>
      <c r="AI78" s="17"/>
    </row>
    <row r="79" spans="1:35">
      <c r="A79" s="134" t="s">
        <v>216</v>
      </c>
      <c r="B79" s="135"/>
      <c r="C79" s="102"/>
      <c r="D79" s="102"/>
      <c r="E79" s="50"/>
      <c r="F79" s="48"/>
      <c r="G79" s="50"/>
      <c r="H79" s="50"/>
      <c r="I79" s="50"/>
      <c r="J79" s="102"/>
      <c r="K79" s="102"/>
      <c r="L79" s="73"/>
      <c r="M79" s="73"/>
      <c r="N79" s="50"/>
      <c r="O79" s="50"/>
      <c r="P79" s="50"/>
      <c r="Q79" s="50"/>
      <c r="R79" s="87">
        <v>12200000</v>
      </c>
      <c r="S79" s="50"/>
      <c r="T79" s="50"/>
      <c r="U79" s="48"/>
      <c r="V79" s="48"/>
      <c r="W79" s="50"/>
      <c r="X79" s="50"/>
      <c r="Y79" s="50"/>
      <c r="Z79" s="50"/>
      <c r="AA79" s="50"/>
      <c r="AB79" s="50"/>
      <c r="AC79" s="41"/>
      <c r="AD79" s="41"/>
      <c r="AE79" s="48"/>
      <c r="AF79" s="48"/>
      <c r="AG79" s="48"/>
      <c r="AH79" s="14"/>
      <c r="AI79" s="17"/>
    </row>
    <row r="80" spans="1:35">
      <c r="A80" s="134" t="s">
        <v>218</v>
      </c>
      <c r="B80" s="135"/>
      <c r="C80" s="102"/>
      <c r="D80" s="102"/>
      <c r="E80" s="50"/>
      <c r="F80" s="48"/>
      <c r="G80" s="50"/>
      <c r="H80" s="50"/>
      <c r="I80" s="50"/>
      <c r="J80" s="102"/>
      <c r="K80" s="102"/>
      <c r="L80" s="73"/>
      <c r="M80" s="73"/>
      <c r="N80" s="50"/>
      <c r="O80" s="50"/>
      <c r="P80" s="50"/>
      <c r="Q80" s="50"/>
      <c r="R80" s="87">
        <v>255014000</v>
      </c>
      <c r="S80" s="50"/>
      <c r="T80" s="50"/>
      <c r="U80" s="48"/>
      <c r="V80" s="48"/>
      <c r="W80" s="50"/>
      <c r="X80" s="50"/>
      <c r="Y80" s="50"/>
      <c r="Z80" s="50"/>
      <c r="AA80" s="50"/>
      <c r="AB80" s="50"/>
      <c r="AC80" s="41"/>
      <c r="AD80" s="41"/>
      <c r="AE80" s="48"/>
      <c r="AF80" s="48"/>
      <c r="AG80" s="48"/>
      <c r="AH80" s="14"/>
      <c r="AI80" s="17"/>
    </row>
    <row r="81" spans="1:35">
      <c r="A81" s="134" t="s">
        <v>223</v>
      </c>
      <c r="B81" s="135"/>
      <c r="C81" s="102"/>
      <c r="D81" s="102"/>
      <c r="E81" s="50"/>
      <c r="F81" s="48"/>
      <c r="G81" s="50"/>
      <c r="H81" s="50"/>
      <c r="I81" s="50"/>
      <c r="J81" s="102"/>
      <c r="K81" s="102"/>
      <c r="L81" s="73"/>
      <c r="M81" s="73"/>
      <c r="N81" s="50"/>
      <c r="O81" s="50"/>
      <c r="P81" s="50"/>
      <c r="Q81" s="50"/>
      <c r="R81" s="50"/>
      <c r="S81" s="50"/>
      <c r="T81" s="50"/>
      <c r="U81" s="50"/>
      <c r="V81" s="48"/>
      <c r="W81" s="50"/>
      <c r="X81" s="50"/>
      <c r="Y81" s="50"/>
      <c r="Z81" s="50"/>
      <c r="AA81" s="50"/>
      <c r="AB81" s="41"/>
      <c r="AC81" s="41"/>
      <c r="AD81" s="41"/>
      <c r="AE81" s="48"/>
      <c r="AF81" s="48">
        <v>66800000</v>
      </c>
      <c r="AG81" s="48"/>
      <c r="AH81" s="14"/>
      <c r="AI81" s="17"/>
    </row>
    <row r="82" spans="1:35">
      <c r="A82" s="134" t="s">
        <v>243</v>
      </c>
      <c r="B82" s="135"/>
      <c r="C82" s="102"/>
      <c r="D82" s="102"/>
      <c r="E82" s="50"/>
      <c r="F82" s="48"/>
      <c r="G82" s="50"/>
      <c r="H82" s="50"/>
      <c r="I82" s="50"/>
      <c r="J82" s="102"/>
      <c r="K82" s="102"/>
      <c r="L82" s="73"/>
      <c r="M82" s="73"/>
      <c r="N82" s="50"/>
      <c r="O82" s="50"/>
      <c r="P82" s="50"/>
      <c r="Q82" s="50"/>
      <c r="R82" s="50"/>
      <c r="S82" s="50"/>
      <c r="T82" s="50"/>
      <c r="U82" s="50"/>
      <c r="V82" s="48"/>
      <c r="W82" s="50"/>
      <c r="X82" s="50"/>
      <c r="Y82" s="50"/>
      <c r="Z82" s="50"/>
      <c r="AA82" s="50"/>
      <c r="AB82" s="41"/>
      <c r="AC82" s="41"/>
      <c r="AD82" s="41"/>
      <c r="AE82" s="48"/>
      <c r="AF82" s="48">
        <v>88825000</v>
      </c>
      <c r="AG82" s="48"/>
      <c r="AH82" s="14"/>
      <c r="AI82" s="17"/>
    </row>
    <row r="83" spans="1:35">
      <c r="A83" s="134" t="s">
        <v>244</v>
      </c>
      <c r="B83" s="135"/>
      <c r="C83" s="102"/>
      <c r="D83" s="102"/>
      <c r="E83" s="50"/>
      <c r="F83" s="48"/>
      <c r="G83" s="50"/>
      <c r="H83" s="50"/>
      <c r="I83" s="50"/>
      <c r="J83" s="102"/>
      <c r="K83" s="102"/>
      <c r="L83" s="73"/>
      <c r="M83" s="73"/>
      <c r="N83" s="50"/>
      <c r="O83" s="50"/>
      <c r="P83" s="50"/>
      <c r="Q83" s="50"/>
      <c r="R83" s="50"/>
      <c r="S83" s="50"/>
      <c r="T83" s="50"/>
      <c r="U83" s="50"/>
      <c r="V83" s="48"/>
      <c r="W83" s="50"/>
      <c r="X83" s="50"/>
      <c r="Y83" s="50"/>
      <c r="Z83" s="50"/>
      <c r="AA83" s="50"/>
      <c r="AB83" s="41"/>
      <c r="AC83" s="41"/>
      <c r="AD83" s="41"/>
      <c r="AE83" s="48"/>
      <c r="AF83" s="48">
        <v>1100000</v>
      </c>
      <c r="AG83" s="48"/>
      <c r="AH83" s="14"/>
      <c r="AI83" s="17"/>
    </row>
    <row r="84" spans="1:35">
      <c r="A84" s="134" t="s">
        <v>196</v>
      </c>
      <c r="B84" s="135"/>
      <c r="C84" s="102"/>
      <c r="D84" s="102"/>
      <c r="E84" s="50"/>
      <c r="F84" s="48"/>
      <c r="G84" s="50"/>
      <c r="H84" s="50"/>
      <c r="I84" s="50"/>
      <c r="J84" s="102"/>
      <c r="K84" s="102"/>
      <c r="L84" s="73"/>
      <c r="M84" s="73"/>
      <c r="N84" s="50"/>
      <c r="O84" s="50"/>
      <c r="P84" s="50"/>
      <c r="Q84" s="50"/>
      <c r="R84" s="50"/>
      <c r="S84" s="50"/>
      <c r="T84" s="50"/>
      <c r="U84" s="50"/>
      <c r="V84" s="48"/>
      <c r="W84" s="50"/>
      <c r="X84" s="50"/>
      <c r="Y84" s="50"/>
      <c r="Z84" s="50"/>
      <c r="AA84" s="50"/>
      <c r="AB84" s="41"/>
      <c r="AC84" s="41"/>
      <c r="AD84" s="41"/>
      <c r="AE84" s="48"/>
      <c r="AF84" s="48">
        <v>83500000</v>
      </c>
      <c r="AG84" s="73"/>
      <c r="AH84" s="14"/>
      <c r="AI84" s="17"/>
    </row>
    <row r="85" spans="1:35">
      <c r="A85" s="134" t="s">
        <v>197</v>
      </c>
      <c r="B85" s="135"/>
      <c r="C85" s="102"/>
      <c r="D85" s="102"/>
      <c r="E85" s="50"/>
      <c r="F85" s="48"/>
      <c r="G85" s="50"/>
      <c r="H85" s="50"/>
      <c r="I85" s="50"/>
      <c r="J85" s="102"/>
      <c r="K85" s="102"/>
      <c r="L85" s="73"/>
      <c r="M85" s="73"/>
      <c r="N85" s="50"/>
      <c r="O85" s="50"/>
      <c r="P85" s="50"/>
      <c r="Q85" s="50"/>
      <c r="R85" s="50"/>
      <c r="S85" s="50"/>
      <c r="T85" s="50"/>
      <c r="U85" s="50"/>
      <c r="V85" s="48"/>
      <c r="W85" s="50"/>
      <c r="X85" s="50"/>
      <c r="Y85" s="50"/>
      <c r="Z85" s="50"/>
      <c r="AA85" s="50"/>
      <c r="AB85" s="41"/>
      <c r="AC85" s="41"/>
      <c r="AD85" s="41"/>
      <c r="AE85" s="48"/>
      <c r="AF85" s="48">
        <v>83500000</v>
      </c>
      <c r="AG85" s="73"/>
      <c r="AH85" s="14"/>
      <c r="AI85" s="17"/>
    </row>
    <row r="86" spans="1:35">
      <c r="A86" s="134" t="s">
        <v>28</v>
      </c>
      <c r="B86" s="135"/>
      <c r="C86" s="73"/>
      <c r="D86" s="50"/>
      <c r="E86" s="48"/>
      <c r="F86" s="48"/>
      <c r="G86" s="48"/>
      <c r="H86" s="48"/>
      <c r="I86" s="48"/>
      <c r="J86" s="73"/>
      <c r="K86" s="73"/>
      <c r="L86" s="48"/>
      <c r="M86" s="48"/>
      <c r="N86" s="50"/>
      <c r="O86" s="50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1"/>
      <c r="AF86" s="48"/>
      <c r="AG86" s="48"/>
      <c r="AH86" s="14">
        <f>SUM(C86:AG86)</f>
        <v>0</v>
      </c>
      <c r="AI86" s="17"/>
    </row>
    <row r="87" spans="1:35">
      <c r="A87" s="15" t="s">
        <v>29</v>
      </c>
      <c r="B87" s="11"/>
      <c r="C87" s="73"/>
      <c r="D87" s="41"/>
      <c r="E87" s="48"/>
      <c r="F87" s="48"/>
      <c r="G87" s="48"/>
      <c r="H87" s="48"/>
      <c r="I87" s="48"/>
      <c r="J87" s="73"/>
      <c r="K87" s="73"/>
      <c r="L87" s="48"/>
      <c r="M87" s="48"/>
      <c r="N87" s="48"/>
      <c r="O87" s="41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1"/>
      <c r="AF87" s="48"/>
      <c r="AG87" s="48"/>
      <c r="AH87" s="14">
        <f>SUM(C87:AG87)</f>
        <v>0</v>
      </c>
      <c r="AI87" s="17"/>
    </row>
    <row r="88" spans="1:35">
      <c r="A88" s="15" t="s">
        <v>30</v>
      </c>
      <c r="B88" s="11"/>
      <c r="C88" s="73"/>
      <c r="D88" s="41"/>
      <c r="E88" s="48"/>
      <c r="F88" s="48"/>
      <c r="G88" s="48"/>
      <c r="H88" s="48"/>
      <c r="I88" s="48"/>
      <c r="J88" s="73"/>
      <c r="K88" s="73"/>
      <c r="L88" s="48"/>
      <c r="M88" s="48"/>
      <c r="N88" s="48"/>
      <c r="O88" s="41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1"/>
      <c r="AF88" s="48"/>
      <c r="AG88" s="48"/>
      <c r="AH88" s="14">
        <f>SUM(C88:AG88)</f>
        <v>0</v>
      </c>
      <c r="AI88" s="17"/>
    </row>
    <row r="89" spans="1:35">
      <c r="A89" s="15" t="s">
        <v>31</v>
      </c>
      <c r="B89" s="11"/>
      <c r="C89" s="73"/>
      <c r="D89" s="41"/>
      <c r="E89" s="48"/>
      <c r="F89" s="48"/>
      <c r="G89" s="73"/>
      <c r="H89" s="48"/>
      <c r="I89" s="48"/>
      <c r="J89" s="73"/>
      <c r="K89" s="94">
        <v>54431850</v>
      </c>
      <c r="L89" s="48"/>
      <c r="M89" s="48"/>
      <c r="N89" s="48"/>
      <c r="O89" s="41"/>
      <c r="P89" s="48"/>
      <c r="Q89" s="73">
        <v>27215925</v>
      </c>
      <c r="R89" s="48"/>
      <c r="S89" s="48"/>
      <c r="T89" s="48"/>
      <c r="U89" s="73"/>
      <c r="V89" s="48"/>
      <c r="W89" s="48"/>
      <c r="X89" s="73"/>
      <c r="Y89" s="73"/>
      <c r="Z89" s="48"/>
      <c r="AA89" s="73"/>
      <c r="AB89" s="48"/>
      <c r="AC89" s="48"/>
      <c r="AD89" s="48"/>
      <c r="AE89" s="41"/>
      <c r="AF89" s="48"/>
      <c r="AG89" s="48"/>
      <c r="AH89" s="14">
        <f>SUM(C89:AG89)</f>
        <v>81647775</v>
      </c>
      <c r="AI89" s="17"/>
    </row>
    <row r="90" spans="1:35">
      <c r="A90" s="32" t="s">
        <v>46</v>
      </c>
      <c r="B90" s="11"/>
      <c r="C90" s="13"/>
      <c r="D90" s="41"/>
      <c r="E90" s="73">
        <v>350000000</v>
      </c>
      <c r="F90" s="73"/>
      <c r="G90" s="73"/>
      <c r="H90" s="48"/>
      <c r="I90" s="73">
        <v>10238889</v>
      </c>
      <c r="J90" s="78"/>
      <c r="K90" s="78"/>
      <c r="L90" s="87"/>
      <c r="M90" s="73"/>
      <c r="N90" s="94">
        <v>58134906</v>
      </c>
      <c r="O90" s="41"/>
      <c r="P90" s="48"/>
      <c r="Q90" s="73"/>
      <c r="R90" s="73"/>
      <c r="S90" s="73"/>
      <c r="T90" s="73"/>
      <c r="U90" s="73"/>
      <c r="V90" s="48"/>
      <c r="W90" s="48"/>
      <c r="X90" s="73"/>
      <c r="Y90" s="73"/>
      <c r="Z90" s="73"/>
      <c r="AA90" s="73"/>
      <c r="AB90" s="94"/>
      <c r="AC90" s="48"/>
      <c r="AD90" s="42"/>
      <c r="AE90" s="73">
        <f>3600000+7000000+5375000</f>
        <v>15975000</v>
      </c>
      <c r="AF90" s="73">
        <v>35000000</v>
      </c>
      <c r="AG90" s="48"/>
      <c r="AH90" s="14">
        <f>SUM(C90:AG90)</f>
        <v>469348795</v>
      </c>
      <c r="AI90" s="17"/>
    </row>
    <row r="91" spans="1:35">
      <c r="A91" s="32" t="s">
        <v>213</v>
      </c>
      <c r="B91" s="11"/>
      <c r="C91" s="94"/>
      <c r="D91" s="41"/>
      <c r="E91" s="50"/>
      <c r="F91" s="13"/>
      <c r="G91" s="87"/>
      <c r="H91" s="48"/>
      <c r="I91" s="73"/>
      <c r="J91" s="73"/>
      <c r="K91" s="73"/>
      <c r="L91" s="73"/>
      <c r="M91" s="73"/>
      <c r="N91" s="73">
        <v>500000000</v>
      </c>
      <c r="O91" s="41"/>
      <c r="P91" s="48"/>
      <c r="Q91" s="41"/>
      <c r="R91" s="48"/>
      <c r="S91" s="73"/>
      <c r="T91" s="73"/>
      <c r="U91" s="42">
        <v>2000000000</v>
      </c>
      <c r="V91" s="48"/>
      <c r="W91" s="48"/>
      <c r="X91" s="73"/>
      <c r="Y91" s="73"/>
      <c r="Z91" s="48"/>
      <c r="AA91" s="73"/>
      <c r="AB91" s="41"/>
      <c r="AC91" s="73"/>
      <c r="AD91" s="73"/>
      <c r="AE91" s="73"/>
      <c r="AF91" s="73">
        <v>350000000</v>
      </c>
      <c r="AG91" s="48"/>
      <c r="AH91" s="14">
        <f>SUM(F91:AG91)</f>
        <v>2850000000</v>
      </c>
      <c r="AI91" s="17"/>
    </row>
    <row r="92" spans="1:35" ht="10.5" customHeight="1">
      <c r="A92" s="32" t="s">
        <v>119</v>
      </c>
      <c r="B92" s="11"/>
      <c r="C92" s="78"/>
      <c r="D92" s="78"/>
      <c r="E92" s="41"/>
      <c r="F92" s="41"/>
      <c r="G92" s="41"/>
      <c r="H92" s="41"/>
      <c r="I92" s="41"/>
      <c r="J92" s="78"/>
      <c r="K92" s="78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G92" s="48">
        <v>4000000000</v>
      </c>
      <c r="AH92" s="14"/>
      <c r="AI92" s="17"/>
    </row>
    <row r="93" spans="1:35">
      <c r="A93" s="19" t="s">
        <v>32</v>
      </c>
      <c r="B93" s="137"/>
      <c r="C93" s="66">
        <f t="shared" ref="C93:AH93" si="1">SUM(C7:C92)</f>
        <v>0</v>
      </c>
      <c r="D93" s="66">
        <f t="shared" si="1"/>
        <v>193795433</v>
      </c>
      <c r="E93" s="66">
        <f t="shared" si="1"/>
        <v>414717400</v>
      </c>
      <c r="F93" s="66">
        <f t="shared" si="1"/>
        <v>0</v>
      </c>
      <c r="G93" s="66">
        <f t="shared" si="1"/>
        <v>625906260</v>
      </c>
      <c r="H93" s="66">
        <f t="shared" si="1"/>
        <v>48124058</v>
      </c>
      <c r="I93" s="66">
        <f t="shared" si="1"/>
        <v>299040703</v>
      </c>
      <c r="J93" s="66">
        <f t="shared" si="1"/>
        <v>256741380</v>
      </c>
      <c r="K93" s="66">
        <f t="shared" si="1"/>
        <v>54431850</v>
      </c>
      <c r="L93" s="66">
        <f t="shared" si="1"/>
        <v>0</v>
      </c>
      <c r="M93" s="66">
        <f t="shared" si="1"/>
        <v>0</v>
      </c>
      <c r="N93" s="66">
        <f t="shared" si="1"/>
        <v>765696106</v>
      </c>
      <c r="O93" s="66">
        <f t="shared" si="1"/>
        <v>35702333</v>
      </c>
      <c r="P93" s="66">
        <f t="shared" si="1"/>
        <v>2175512519</v>
      </c>
      <c r="Q93" s="66">
        <f t="shared" si="1"/>
        <v>27215925</v>
      </c>
      <c r="R93" s="66">
        <f>SUM(R7:R92)</f>
        <v>1523152413</v>
      </c>
      <c r="S93" s="66">
        <f>SUM(S7:S92)</f>
        <v>0</v>
      </c>
      <c r="T93" s="66">
        <f t="shared" si="1"/>
        <v>0</v>
      </c>
      <c r="U93" s="66">
        <f>SUM(U7:U92)</f>
        <v>2346964499</v>
      </c>
      <c r="V93" s="66">
        <f>SUM(V7:V92)</f>
        <v>0</v>
      </c>
      <c r="W93" s="66">
        <f t="shared" si="1"/>
        <v>863450874</v>
      </c>
      <c r="X93" s="66">
        <f>SUM(X7:X92)</f>
        <v>0</v>
      </c>
      <c r="Y93" s="66">
        <f t="shared" si="1"/>
        <v>610882178</v>
      </c>
      <c r="Z93" s="66">
        <f>SUM(Z7:Z92)</f>
        <v>0</v>
      </c>
      <c r="AA93" s="66">
        <f t="shared" si="1"/>
        <v>0</v>
      </c>
      <c r="AB93" s="66">
        <f t="shared" si="1"/>
        <v>393116406</v>
      </c>
      <c r="AC93" s="66">
        <f>SUM(AC7:AC92)</f>
        <v>1012692161</v>
      </c>
      <c r="AD93" s="66">
        <f>SUM(AD7:AD92)</f>
        <v>119504247</v>
      </c>
      <c r="AE93" s="66">
        <f>SUM(AE7:AE92)</f>
        <v>266975000</v>
      </c>
      <c r="AF93" s="66" t="e">
        <f>SUM(AF7:AF92)</f>
        <v>#REF!</v>
      </c>
      <c r="AG93" s="66">
        <f>SUM(AG7:AG92)</f>
        <v>4000000000</v>
      </c>
      <c r="AH93" s="21">
        <f t="shared" si="1"/>
        <v>8031685300</v>
      </c>
    </row>
    <row r="94" spans="1:35">
      <c r="A94" s="22"/>
      <c r="B94" s="11"/>
      <c r="C94" s="67"/>
      <c r="D94" s="67"/>
      <c r="E94" s="12"/>
      <c r="F94" s="12"/>
      <c r="G94" s="12"/>
      <c r="H94" s="12"/>
      <c r="I94" s="12"/>
      <c r="J94" s="67"/>
      <c r="K94" s="67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2"/>
      <c r="AD94" s="12"/>
      <c r="AE94" s="12"/>
      <c r="AF94" s="12"/>
      <c r="AG94" s="12"/>
      <c r="AH94" s="23"/>
      <c r="AI94" s="6"/>
    </row>
    <row r="95" spans="1:35">
      <c r="A95" s="24" t="s">
        <v>33</v>
      </c>
      <c r="B95" s="11"/>
      <c r="C95" s="67"/>
      <c r="D95" s="67"/>
      <c r="E95" s="12"/>
      <c r="F95" s="12"/>
      <c r="G95" s="12"/>
      <c r="H95" s="12"/>
      <c r="I95" s="12"/>
      <c r="J95" s="67"/>
      <c r="K95" s="67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67"/>
      <c r="AB95" s="67"/>
      <c r="AC95" s="12"/>
      <c r="AD95" s="12"/>
      <c r="AE95" s="12"/>
      <c r="AF95" s="12"/>
      <c r="AG95" s="12"/>
      <c r="AH95" s="23"/>
      <c r="AI95" s="6"/>
    </row>
    <row r="96" spans="1:35">
      <c r="A96" s="25" t="s">
        <v>34</v>
      </c>
      <c r="B96" s="26">
        <v>0</v>
      </c>
      <c r="C96" s="67"/>
      <c r="D96" s="67"/>
      <c r="E96" s="26"/>
      <c r="F96" s="26"/>
      <c r="G96" s="26"/>
      <c r="H96" s="26"/>
      <c r="I96" s="67">
        <v>994241714</v>
      </c>
      <c r="J96" s="67"/>
      <c r="K96" s="67"/>
      <c r="L96" s="26"/>
      <c r="M96" s="67"/>
      <c r="N96" s="67"/>
      <c r="O96" s="54"/>
      <c r="P96" s="67"/>
      <c r="Q96" s="67"/>
      <c r="R96" s="67"/>
      <c r="S96" s="67"/>
      <c r="T96" s="67"/>
      <c r="U96" s="110">
        <v>1460085881</v>
      </c>
      <c r="V96" s="26"/>
      <c r="W96" s="26"/>
      <c r="X96" s="67"/>
      <c r="Y96" s="67">
        <v>2212473479</v>
      </c>
      <c r="Z96" s="67"/>
      <c r="AA96" s="67"/>
      <c r="AB96" s="67"/>
      <c r="AC96" s="26"/>
      <c r="AD96" s="67">
        <v>1985799791</v>
      </c>
      <c r="AE96" s="67"/>
      <c r="AF96" s="68"/>
      <c r="AG96" s="26"/>
      <c r="AH96" s="23">
        <f>SUM(C96:AG96)</f>
        <v>6652600865</v>
      </c>
      <c r="AI96" s="17"/>
    </row>
    <row r="97" spans="1:37">
      <c r="A97" s="25" t="s">
        <v>198</v>
      </c>
      <c r="B97" s="26"/>
      <c r="C97" s="67"/>
      <c r="D97" s="67"/>
      <c r="E97" s="54"/>
      <c r="F97" s="26"/>
      <c r="G97" s="26"/>
      <c r="H97" s="26"/>
      <c r="I97" s="67">
        <v>6527759</v>
      </c>
      <c r="J97" s="67"/>
      <c r="K97" s="67"/>
      <c r="L97" s="26"/>
      <c r="M97" s="67"/>
      <c r="N97" s="67"/>
      <c r="O97" s="54"/>
      <c r="P97" s="67"/>
      <c r="Q97" s="67"/>
      <c r="R97" s="67"/>
      <c r="S97" s="67"/>
      <c r="T97" s="67"/>
      <c r="U97" s="110">
        <v>10950644</v>
      </c>
      <c r="V97" s="26"/>
      <c r="W97" s="26"/>
      <c r="X97" s="67"/>
      <c r="Y97" s="67">
        <v>16593551</v>
      </c>
      <c r="Z97" s="67"/>
      <c r="AA97" s="67"/>
      <c r="AB97" s="67"/>
      <c r="AC97" s="67"/>
      <c r="AD97" s="67">
        <v>14893498</v>
      </c>
      <c r="AE97" s="67"/>
      <c r="AF97" s="68"/>
      <c r="AG97" s="26"/>
      <c r="AH97" s="23"/>
      <c r="AI97" s="17"/>
    </row>
    <row r="98" spans="1:37">
      <c r="A98" s="25" t="s">
        <v>227</v>
      </c>
      <c r="B98" s="26"/>
      <c r="C98" s="67"/>
      <c r="D98" s="67"/>
      <c r="E98" s="54"/>
      <c r="F98" s="26"/>
      <c r="G98" s="26"/>
      <c r="H98" s="26"/>
      <c r="I98" s="67"/>
      <c r="J98" s="67"/>
      <c r="K98" s="67"/>
      <c r="L98" s="26"/>
      <c r="M98" s="67"/>
      <c r="N98" s="67"/>
      <c r="O98" s="54"/>
      <c r="P98" s="67"/>
      <c r="Q98" s="67"/>
      <c r="R98" s="67"/>
      <c r="S98" s="67"/>
      <c r="T98" s="67"/>
      <c r="U98" s="110">
        <v>1064776363</v>
      </c>
      <c r="V98" s="26"/>
      <c r="W98" s="67">
        <v>2908698545</v>
      </c>
      <c r="X98" s="67"/>
      <c r="Y98" s="67">
        <v>4712913772</v>
      </c>
      <c r="Z98" s="67"/>
      <c r="AA98" s="67"/>
      <c r="AB98" s="67"/>
      <c r="AC98" s="67">
        <v>1609737655</v>
      </c>
      <c r="AD98" s="67"/>
      <c r="AE98" s="67">
        <v>296949946</v>
      </c>
      <c r="AF98" s="68"/>
      <c r="AG98" s="26"/>
      <c r="AH98" s="23"/>
      <c r="AI98" s="17"/>
    </row>
    <row r="99" spans="1:37">
      <c r="A99" s="25" t="s">
        <v>212</v>
      </c>
      <c r="B99" s="26">
        <v>0</v>
      </c>
      <c r="C99" s="13">
        <v>1669392773</v>
      </c>
      <c r="D99" s="13">
        <v>2036741859</v>
      </c>
      <c r="E99" s="68"/>
      <c r="F99" s="67"/>
      <c r="G99" s="67"/>
      <c r="H99" s="13">
        <v>2645273824</v>
      </c>
      <c r="I99" s="67">
        <v>1877507072</v>
      </c>
      <c r="J99" s="13"/>
      <c r="K99" s="13">
        <f>SUM([2]HSBC!$C$20:$C$21)</f>
        <v>1462320156</v>
      </c>
      <c r="L99" s="67"/>
      <c r="M99" s="67"/>
      <c r="N99" s="67"/>
      <c r="O99" s="68"/>
      <c r="P99" s="67"/>
      <c r="Q99" s="42"/>
      <c r="R99" s="68"/>
      <c r="S99" s="67"/>
      <c r="T99" s="67"/>
      <c r="U99" s="110"/>
      <c r="V99" s="67"/>
      <c r="W99" s="26"/>
      <c r="X99" s="67"/>
      <c r="Z99" s="67"/>
      <c r="AA99" s="67"/>
      <c r="AB99" s="13"/>
      <c r="AC99" s="67"/>
      <c r="AD99" s="65"/>
      <c r="AE99" s="67"/>
      <c r="AF99" s="68"/>
      <c r="AG99" s="26"/>
      <c r="AH99" s="23">
        <f>SUM(C99:AG99)</f>
        <v>9691235684</v>
      </c>
      <c r="AI99" s="17"/>
    </row>
    <row r="100" spans="1:37">
      <c r="A100" s="25" t="s">
        <v>210</v>
      </c>
      <c r="B100" s="26"/>
      <c r="C100" s="13"/>
      <c r="D100" s="13"/>
      <c r="E100" s="68"/>
      <c r="F100" s="67"/>
      <c r="G100" s="67"/>
      <c r="H100" s="13"/>
      <c r="I100" s="67"/>
      <c r="J100" s="13"/>
      <c r="K100" s="13">
        <f>SUM([2]HSBC!$C$22:$C$24)</f>
        <v>2415652682</v>
      </c>
      <c r="L100" s="67"/>
      <c r="M100" s="67"/>
      <c r="N100" s="67"/>
      <c r="O100" s="68"/>
      <c r="P100" s="67"/>
      <c r="Q100" s="42"/>
      <c r="R100" s="68"/>
      <c r="S100" s="67"/>
      <c r="T100" s="67"/>
      <c r="U100" s="110"/>
      <c r="V100" s="67"/>
      <c r="W100" s="26"/>
      <c r="X100" s="67"/>
      <c r="Y100" s="67"/>
      <c r="Z100" s="67"/>
      <c r="AA100" s="67"/>
      <c r="AB100" s="13"/>
      <c r="AC100" s="67"/>
      <c r="AD100" s="65"/>
      <c r="AE100" s="110"/>
      <c r="AF100" s="68"/>
      <c r="AG100" s="26"/>
      <c r="AH100" s="23"/>
      <c r="AI100" s="17"/>
    </row>
    <row r="101" spans="1:37">
      <c r="A101" s="25" t="s">
        <v>199</v>
      </c>
      <c r="B101" s="26"/>
      <c r="C101" s="13">
        <v>12143656</v>
      </c>
      <c r="D101" s="13">
        <v>14936107</v>
      </c>
      <c r="E101" s="68"/>
      <c r="F101" s="67"/>
      <c r="G101" s="67"/>
      <c r="H101" s="13">
        <v>18905830</v>
      </c>
      <c r="I101" s="67">
        <v>11761079</v>
      </c>
      <c r="J101" s="13"/>
      <c r="K101" s="13">
        <v>21921450</v>
      </c>
      <c r="L101" s="67"/>
      <c r="M101" s="67"/>
      <c r="N101" s="67"/>
      <c r="O101" s="68"/>
      <c r="P101" s="67"/>
      <c r="Q101" s="42"/>
      <c r="R101" s="68"/>
      <c r="S101" s="67"/>
      <c r="T101" s="67"/>
      <c r="U101" s="110">
        <v>7444868</v>
      </c>
      <c r="V101" s="67"/>
      <c r="W101" s="67">
        <v>21330456</v>
      </c>
      <c r="X101" s="67"/>
      <c r="Y101" s="67">
        <v>34176187</v>
      </c>
      <c r="Z101" s="67"/>
      <c r="AA101" s="67"/>
      <c r="AB101" s="13"/>
      <c r="AC101" s="67">
        <v>11248813</v>
      </c>
      <c r="AD101" s="65"/>
      <c r="AE101" s="110">
        <v>1961519</v>
      </c>
      <c r="AF101" s="68"/>
      <c r="AG101" s="26"/>
      <c r="AH101" s="23"/>
      <c r="AI101" s="17"/>
      <c r="AK101" s="3" t="s">
        <v>253</v>
      </c>
    </row>
    <row r="102" spans="1:37">
      <c r="A102" s="25" t="s">
        <v>211</v>
      </c>
      <c r="B102" s="26">
        <v>0</v>
      </c>
      <c r="C102" s="67">
        <v>1499394960</v>
      </c>
      <c r="D102" s="68"/>
      <c r="E102" s="54"/>
      <c r="F102" s="67"/>
      <c r="G102" s="67"/>
      <c r="H102" s="26"/>
      <c r="I102" s="26"/>
      <c r="J102" s="67"/>
      <c r="K102" s="67">
        <f>SUM([2]UOB!$C$11:$C$12)</f>
        <v>741364684</v>
      </c>
      <c r="L102" s="67"/>
      <c r="M102" s="67"/>
      <c r="N102" s="67"/>
      <c r="O102" s="54"/>
      <c r="P102" s="26"/>
      <c r="Q102" s="67"/>
      <c r="R102" s="67"/>
      <c r="S102" s="67"/>
      <c r="T102" s="67"/>
      <c r="U102" s="69"/>
      <c r="V102" s="26"/>
      <c r="W102" s="26"/>
      <c r="X102" s="67"/>
      <c r="Y102" s="42"/>
      <c r="Z102" s="67"/>
      <c r="AA102" s="67"/>
      <c r="AB102" s="67"/>
      <c r="AC102" s="67"/>
      <c r="AD102" s="67"/>
      <c r="AE102" s="67"/>
      <c r="AF102" s="68"/>
      <c r="AG102" s="26"/>
      <c r="AH102" s="23">
        <f>SUM(C102:AG102)</f>
        <v>2240759644</v>
      </c>
      <c r="AI102" s="17"/>
    </row>
    <row r="103" spans="1:37">
      <c r="A103" s="25" t="s">
        <v>228</v>
      </c>
      <c r="B103" s="26"/>
      <c r="C103" s="67"/>
      <c r="D103" s="68"/>
      <c r="E103" s="54"/>
      <c r="F103" s="67"/>
      <c r="G103" s="67"/>
      <c r="H103" s="26"/>
      <c r="I103" s="26"/>
      <c r="J103" s="67"/>
      <c r="K103" s="67"/>
      <c r="L103" s="75"/>
      <c r="M103" s="67"/>
      <c r="N103" s="67"/>
      <c r="O103" s="54"/>
      <c r="P103" s="26"/>
      <c r="Q103" s="67"/>
      <c r="R103" s="67"/>
      <c r="S103" s="67"/>
      <c r="T103" s="67"/>
      <c r="U103" s="69"/>
      <c r="V103" s="26"/>
      <c r="W103" s="67">
        <v>1872678216</v>
      </c>
      <c r="X103" s="67"/>
      <c r="Y103" s="42"/>
      <c r="Z103" s="67"/>
      <c r="AA103" s="67"/>
      <c r="AB103" s="67"/>
      <c r="AC103" s="67"/>
      <c r="AD103" s="26"/>
      <c r="AE103" s="67"/>
      <c r="AF103" s="68"/>
      <c r="AG103" s="26"/>
      <c r="AH103" s="23"/>
      <c r="AI103" s="17"/>
    </row>
    <row r="104" spans="1:37">
      <c r="A104" s="25" t="s">
        <v>200</v>
      </c>
      <c r="B104" s="26"/>
      <c r="C104" s="67">
        <v>10870613</v>
      </c>
      <c r="D104" s="68"/>
      <c r="E104" s="54"/>
      <c r="F104" s="67"/>
      <c r="G104" s="67"/>
      <c r="H104" s="26"/>
      <c r="I104" s="26"/>
      <c r="J104" s="67"/>
      <c r="K104" s="67">
        <v>4262847</v>
      </c>
      <c r="L104" s="75"/>
      <c r="M104" s="67"/>
      <c r="N104" s="67"/>
      <c r="O104" s="54"/>
      <c r="P104" s="26"/>
      <c r="Q104" s="67"/>
      <c r="R104" s="67"/>
      <c r="S104" s="67"/>
      <c r="T104" s="67"/>
      <c r="U104" s="68"/>
      <c r="V104" s="26"/>
      <c r="W104" s="67">
        <v>14045087</v>
      </c>
      <c r="X104" s="67"/>
      <c r="Y104" s="42"/>
      <c r="Z104" s="67"/>
      <c r="AA104" s="67"/>
      <c r="AB104" s="67"/>
      <c r="AC104" s="67"/>
      <c r="AD104" s="26"/>
      <c r="AE104" s="67"/>
      <c r="AF104" s="68"/>
      <c r="AG104" s="26"/>
      <c r="AH104" s="23"/>
      <c r="AI104" s="17"/>
    </row>
    <row r="105" spans="1:37">
      <c r="A105" s="25" t="s">
        <v>36</v>
      </c>
      <c r="B105" s="26"/>
      <c r="C105" s="67"/>
      <c r="D105" s="68"/>
      <c r="E105" s="54"/>
      <c r="F105" s="67"/>
      <c r="G105" s="67"/>
      <c r="H105" s="26"/>
      <c r="I105" s="26"/>
      <c r="J105" s="67"/>
      <c r="K105" s="67"/>
      <c r="L105" s="75"/>
      <c r="M105" s="67"/>
      <c r="N105" s="67"/>
      <c r="O105" s="54"/>
      <c r="P105" s="26"/>
      <c r="Q105" s="67"/>
      <c r="R105" s="67"/>
      <c r="S105" s="67"/>
      <c r="T105" s="67"/>
      <c r="U105" s="68"/>
      <c r="V105" s="26"/>
      <c r="W105" s="67"/>
      <c r="X105" s="67"/>
      <c r="Y105" s="42"/>
      <c r="Z105" s="67"/>
      <c r="AA105" s="67"/>
      <c r="AB105" s="67"/>
      <c r="AC105" s="67"/>
      <c r="AD105" s="26"/>
      <c r="AE105" s="67">
        <v>1802095829</v>
      </c>
      <c r="AF105" s="68"/>
      <c r="AG105" s="26"/>
      <c r="AH105" s="23"/>
      <c r="AI105" s="17"/>
    </row>
    <row r="106" spans="1:37">
      <c r="A106" s="25" t="s">
        <v>242</v>
      </c>
      <c r="B106" s="26"/>
      <c r="C106" s="67"/>
      <c r="D106" s="68"/>
      <c r="E106" s="54"/>
      <c r="F106" s="67"/>
      <c r="G106" s="67"/>
      <c r="H106" s="26"/>
      <c r="I106" s="26"/>
      <c r="J106" s="67"/>
      <c r="K106" s="67"/>
      <c r="L106" s="75"/>
      <c r="M106" s="67"/>
      <c r="N106" s="67"/>
      <c r="O106" s="54"/>
      <c r="P106" s="26"/>
      <c r="Q106" s="67"/>
      <c r="R106" s="67"/>
      <c r="S106" s="67"/>
      <c r="T106" s="67"/>
      <c r="U106" s="68"/>
      <c r="V106" s="26"/>
      <c r="W106" s="67"/>
      <c r="X106" s="67"/>
      <c r="Y106" s="42">
        <v>13125465</v>
      </c>
      <c r="Z106" s="67"/>
      <c r="AA106" s="67"/>
      <c r="AB106" s="67"/>
      <c r="AC106" s="26"/>
      <c r="AD106" s="26"/>
      <c r="AE106" s="67">
        <v>6570141</v>
      </c>
      <c r="AF106" s="68"/>
      <c r="AG106" s="26"/>
      <c r="AH106" s="23"/>
      <c r="AI106" s="17"/>
    </row>
    <row r="107" spans="1:37">
      <c r="A107" s="11" t="s">
        <v>53</v>
      </c>
      <c r="B107" s="26">
        <v>0</v>
      </c>
      <c r="C107" s="67"/>
      <c r="D107" s="65"/>
      <c r="E107" s="68"/>
      <c r="F107" s="67"/>
      <c r="G107" s="67"/>
      <c r="H107" s="67"/>
      <c r="I107" s="26"/>
      <c r="J107" s="67"/>
      <c r="K107" s="67">
        <v>9333333</v>
      </c>
      <c r="L107" s="75"/>
      <c r="M107" s="67"/>
      <c r="N107" s="65"/>
      <c r="O107" s="42">
        <v>2896990912</v>
      </c>
      <c r="P107" s="42">
        <v>639789617</v>
      </c>
      <c r="Q107" s="67">
        <v>894043034</v>
      </c>
      <c r="R107" s="67">
        <v>601800141</v>
      </c>
      <c r="S107" s="67"/>
      <c r="T107" s="42"/>
      <c r="U107" s="42"/>
      <c r="V107" s="41"/>
      <c r="W107" s="67"/>
      <c r="X107" s="42"/>
      <c r="Y107" s="67">
        <v>966562554</v>
      </c>
      <c r="Z107" s="67"/>
      <c r="AA107" s="67"/>
      <c r="AB107" s="13">
        <v>649674858</v>
      </c>
      <c r="AC107" s="67">
        <v>1078317900</v>
      </c>
      <c r="AD107" s="67"/>
      <c r="AE107" s="67">
        <v>1230412961</v>
      </c>
      <c r="AF107" s="68"/>
      <c r="AG107" s="67"/>
      <c r="AH107" s="23">
        <f>SUM(C107:AG107)</f>
        <v>8966925310</v>
      </c>
      <c r="AI107" s="17"/>
    </row>
    <row r="108" spans="1:37">
      <c r="A108" s="11" t="s">
        <v>54</v>
      </c>
      <c r="B108" s="26"/>
      <c r="C108" s="67"/>
      <c r="D108" s="68"/>
      <c r="E108" s="42"/>
      <c r="F108" s="67"/>
      <c r="G108" s="67"/>
      <c r="H108" s="26"/>
      <c r="I108" s="26"/>
      <c r="J108" s="67"/>
      <c r="K108" s="67"/>
      <c r="L108" s="75"/>
      <c r="M108" s="67"/>
      <c r="N108" s="67"/>
      <c r="O108" s="68">
        <v>2881931978</v>
      </c>
      <c r="P108" s="42">
        <v>469468747</v>
      </c>
      <c r="Q108" s="67"/>
      <c r="R108" s="67">
        <v>944604451</v>
      </c>
      <c r="S108" s="67"/>
      <c r="T108" s="67"/>
      <c r="U108" s="68"/>
      <c r="V108" s="41"/>
      <c r="W108" s="65"/>
      <c r="X108" s="41"/>
      <c r="Y108" s="67"/>
      <c r="Z108" s="65"/>
      <c r="AA108" s="67"/>
      <c r="AB108" s="67">
        <v>785217955</v>
      </c>
      <c r="AC108" s="26"/>
      <c r="AD108" s="67"/>
      <c r="AE108" s="67"/>
      <c r="AF108" s="68"/>
      <c r="AG108" s="26"/>
      <c r="AH108" s="23">
        <f>SUM(C108:AG108)</f>
        <v>5081223131</v>
      </c>
      <c r="AI108" s="17">
        <v>1</v>
      </c>
    </row>
    <row r="109" spans="1:37">
      <c r="A109" s="11" t="s">
        <v>203</v>
      </c>
      <c r="B109" s="26"/>
      <c r="C109" s="67"/>
      <c r="D109" s="68"/>
      <c r="E109" s="42"/>
      <c r="F109" s="67"/>
      <c r="G109" s="67"/>
      <c r="H109" s="26"/>
      <c r="I109" s="26"/>
      <c r="J109" s="67"/>
      <c r="K109" s="67"/>
      <c r="L109" s="75"/>
      <c r="M109" s="67"/>
      <c r="N109" s="67"/>
      <c r="O109" s="68">
        <f>4166666+37500000</f>
        <v>41666666</v>
      </c>
      <c r="P109" s="42"/>
      <c r="Q109" s="67"/>
      <c r="R109" s="67"/>
      <c r="S109" s="67"/>
      <c r="T109" s="67"/>
      <c r="U109" s="68"/>
      <c r="V109" s="41"/>
      <c r="W109" s="65"/>
      <c r="X109" s="41"/>
      <c r="Y109" s="67"/>
      <c r="Z109" s="65"/>
      <c r="AA109" s="67"/>
      <c r="AB109" s="67"/>
      <c r="AC109" s="26"/>
      <c r="AD109" s="67"/>
      <c r="AE109" s="67"/>
      <c r="AF109" s="68"/>
      <c r="AG109" s="26"/>
      <c r="AH109" s="23"/>
      <c r="AI109" s="17"/>
    </row>
    <row r="110" spans="1:37">
      <c r="A110" s="11" t="s">
        <v>203</v>
      </c>
      <c r="B110" s="26"/>
      <c r="C110" s="126"/>
      <c r="D110" s="68"/>
      <c r="E110" s="42"/>
      <c r="F110" s="67"/>
      <c r="G110" s="67"/>
      <c r="H110" s="26"/>
      <c r="I110" s="26"/>
      <c r="J110" s="67"/>
      <c r="K110" s="67"/>
      <c r="L110" s="75"/>
      <c r="M110" s="67"/>
      <c r="N110" s="67"/>
      <c r="O110" s="68">
        <v>102548508</v>
      </c>
      <c r="P110" s="42"/>
      <c r="Q110" s="67"/>
      <c r="R110" s="67"/>
      <c r="S110" s="67"/>
      <c r="T110" s="67"/>
      <c r="U110" s="68"/>
      <c r="V110" s="41"/>
      <c r="W110" s="65"/>
      <c r="X110" s="41"/>
      <c r="Y110" s="67"/>
      <c r="Z110" s="65"/>
      <c r="AA110" s="67"/>
      <c r="AB110" s="67"/>
      <c r="AC110" s="26"/>
      <c r="AD110" s="67"/>
      <c r="AE110" s="67"/>
      <c r="AF110" s="68"/>
      <c r="AG110" s="26"/>
      <c r="AH110" s="23"/>
      <c r="AI110" s="17"/>
    </row>
    <row r="111" spans="1:37">
      <c r="A111" s="11" t="s">
        <v>37</v>
      </c>
      <c r="B111" s="26">
        <v>0</v>
      </c>
      <c r="D111" s="67">
        <v>808320962</v>
      </c>
      <c r="E111" s="42">
        <v>576034777</v>
      </c>
      <c r="F111" s="13"/>
      <c r="G111" s="65">
        <v>576034777</v>
      </c>
      <c r="H111" s="67"/>
      <c r="I111" s="41"/>
      <c r="J111" s="67"/>
      <c r="K111" s="67"/>
      <c r="L111" s="75"/>
      <c r="M111" s="67"/>
      <c r="N111" s="67">
        <v>870614304</v>
      </c>
      <c r="O111" s="68"/>
      <c r="P111" s="42"/>
      <c r="Q111" s="67">
        <v>529543747</v>
      </c>
      <c r="R111" s="67"/>
      <c r="S111" s="26"/>
      <c r="T111" s="67"/>
      <c r="U111" s="42"/>
      <c r="V111" s="41"/>
      <c r="W111" s="67"/>
      <c r="X111" s="42"/>
      <c r="Y111" s="65">
        <v>535800147</v>
      </c>
      <c r="Z111" s="67"/>
      <c r="AA111" s="67"/>
      <c r="AB111" s="94"/>
      <c r="AC111" s="67"/>
      <c r="AD111" s="67">
        <v>874571198</v>
      </c>
      <c r="AE111" s="41"/>
      <c r="AF111" s="42">
        <v>931558351</v>
      </c>
      <c r="AG111" s="67"/>
      <c r="AH111" s="23">
        <f>SUM(D111:AG111)</f>
        <v>5702478263</v>
      </c>
      <c r="AI111" s="17"/>
    </row>
    <row r="112" spans="1:37">
      <c r="A112" s="11" t="s">
        <v>38</v>
      </c>
      <c r="B112" s="26">
        <v>0</v>
      </c>
      <c r="C112" s="41"/>
      <c r="D112" s="42">
        <v>628279356</v>
      </c>
      <c r="E112" s="42"/>
      <c r="F112" s="67"/>
      <c r="G112" s="67"/>
      <c r="H112" s="26"/>
      <c r="I112" s="26"/>
      <c r="J112" s="67"/>
      <c r="K112" s="65"/>
      <c r="L112" s="75"/>
      <c r="M112" s="67"/>
      <c r="N112" s="65">
        <v>341543895</v>
      </c>
      <c r="O112" s="65"/>
      <c r="P112" s="68"/>
      <c r="Q112" s="78"/>
      <c r="R112" s="42"/>
      <c r="S112" s="26"/>
      <c r="T112" s="41"/>
      <c r="U112" s="68"/>
      <c r="V112" s="41"/>
      <c r="W112" s="65"/>
      <c r="X112" s="41"/>
      <c r="Y112" s="65">
        <v>987996660</v>
      </c>
      <c r="Z112" s="78"/>
      <c r="AA112" s="67"/>
      <c r="AB112" s="94"/>
      <c r="AC112" s="67"/>
      <c r="AD112" s="67"/>
      <c r="AE112" s="67"/>
      <c r="AF112" s="42"/>
      <c r="AG112" s="41"/>
      <c r="AH112" s="23">
        <f>SUM(C112:AG112)</f>
        <v>1957819911</v>
      </c>
      <c r="AI112" s="17"/>
    </row>
    <row r="113" spans="1:35">
      <c r="A113" s="11" t="s">
        <v>201</v>
      </c>
      <c r="B113" s="26"/>
      <c r="C113" s="42">
        <v>41188136</v>
      </c>
      <c r="D113" s="41"/>
      <c r="E113" s="42"/>
      <c r="F113" s="67"/>
      <c r="G113" s="67"/>
      <c r="H113" s="26"/>
      <c r="I113" s="26"/>
      <c r="J113" s="67"/>
      <c r="K113" s="65"/>
      <c r="L113" s="67"/>
      <c r="M113" s="67"/>
      <c r="N113" s="78"/>
      <c r="O113" s="65"/>
      <c r="P113" s="68"/>
      <c r="Q113" s="78"/>
      <c r="R113" s="42"/>
      <c r="S113" s="26"/>
      <c r="T113" s="41"/>
      <c r="U113" s="68"/>
      <c r="V113" s="41"/>
      <c r="W113" s="65"/>
      <c r="X113" s="41"/>
      <c r="Y113" s="65">
        <v>993836911</v>
      </c>
      <c r="Z113" s="78"/>
      <c r="AA113" s="67"/>
      <c r="AB113" s="94"/>
      <c r="AC113" s="67"/>
      <c r="AD113" s="67"/>
      <c r="AE113" s="67"/>
      <c r="AF113" s="42"/>
      <c r="AG113" s="41"/>
      <c r="AH113" s="23"/>
      <c r="AI113" s="17"/>
    </row>
    <row r="114" spans="1:35">
      <c r="A114" s="11" t="s">
        <v>175</v>
      </c>
      <c r="B114" s="26"/>
      <c r="D114" s="67">
        <v>706433273</v>
      </c>
      <c r="E114" s="42">
        <v>1774454307</v>
      </c>
      <c r="F114" s="67"/>
      <c r="G114" s="67">
        <v>1774454307</v>
      </c>
      <c r="H114" s="67">
        <v>1001689950</v>
      </c>
      <c r="I114" s="67">
        <v>1065015691</v>
      </c>
      <c r="J114" s="65">
        <f>1392471631+989788401</f>
        <v>2382260032</v>
      </c>
      <c r="K114" s="67"/>
      <c r="L114" s="41"/>
      <c r="M114" s="67"/>
      <c r="N114" s="65">
        <v>762192131</v>
      </c>
      <c r="O114" s="65">
        <v>1498077620</v>
      </c>
      <c r="Q114" s="68">
        <v>1103701697</v>
      </c>
      <c r="R114" s="42"/>
      <c r="S114" s="26"/>
      <c r="T114" s="41"/>
      <c r="U114" s="68"/>
      <c r="V114" s="41"/>
      <c r="W114" s="65"/>
      <c r="X114" s="41"/>
      <c r="Y114" s="65"/>
      <c r="Z114" s="78"/>
      <c r="AA114" s="67"/>
      <c r="AB114" s="94">
        <v>966783506</v>
      </c>
      <c r="AC114" s="67">
        <v>901599092</v>
      </c>
      <c r="AD114" s="67">
        <v>981886065</v>
      </c>
      <c r="AE114" s="41"/>
      <c r="AF114" s="42">
        <v>748765254</v>
      </c>
      <c r="AG114" s="41"/>
      <c r="AH114" s="23"/>
      <c r="AI114" s="17"/>
    </row>
    <row r="115" spans="1:35">
      <c r="A115" s="11" t="s">
        <v>176</v>
      </c>
      <c r="B115" s="26">
        <v>0</v>
      </c>
      <c r="C115" s="68"/>
      <c r="D115" s="67">
        <v>698840644</v>
      </c>
      <c r="E115" s="42">
        <v>1057849829</v>
      </c>
      <c r="F115" s="67"/>
      <c r="G115" s="67">
        <v>1057849829</v>
      </c>
      <c r="H115" s="67"/>
      <c r="I115" s="67"/>
      <c r="J115" s="65"/>
      <c r="K115" s="65"/>
      <c r="L115" s="67"/>
      <c r="M115" s="67"/>
      <c r="N115" s="67">
        <v>774284330</v>
      </c>
      <c r="O115" s="65">
        <f>5625000+625000</f>
        <v>6250000</v>
      </c>
      <c r="P115" s="68"/>
      <c r="Q115" s="67">
        <v>1131488038</v>
      </c>
      <c r="R115" s="110"/>
      <c r="S115" s="67"/>
      <c r="T115" s="65"/>
      <c r="U115" s="42"/>
      <c r="V115" s="67"/>
      <c r="W115" s="67"/>
      <c r="X115" s="42"/>
      <c r="Y115" s="65"/>
      <c r="Z115" s="67"/>
      <c r="AA115" s="67"/>
      <c r="AB115" s="94">
        <v>897418483</v>
      </c>
      <c r="AC115" s="67"/>
      <c r="AD115" s="67">
        <v>944514913</v>
      </c>
      <c r="AE115" s="67"/>
      <c r="AF115" s="42">
        <v>751586918</v>
      </c>
      <c r="AG115" s="67"/>
      <c r="AH115" s="23">
        <f>SUM(C115:AG115)</f>
        <v>7320082984</v>
      </c>
      <c r="AI115" s="17"/>
    </row>
    <row r="116" spans="1:35">
      <c r="A116" s="11" t="s">
        <v>202</v>
      </c>
      <c r="B116" s="26"/>
      <c r="C116" s="68">
        <v>103242002</v>
      </c>
      <c r="D116" s="67"/>
      <c r="E116" s="42"/>
      <c r="F116" s="67"/>
      <c r="G116" s="67"/>
      <c r="H116" s="67"/>
      <c r="I116" s="67"/>
      <c r="J116" s="65"/>
      <c r="K116" s="65"/>
      <c r="L116" s="67"/>
      <c r="M116" s="67"/>
      <c r="N116" s="67"/>
      <c r="O116" s="65"/>
      <c r="P116" s="68"/>
      <c r="Q116" s="67"/>
      <c r="R116" s="110"/>
      <c r="S116" s="67"/>
      <c r="T116" s="65"/>
      <c r="U116" s="42"/>
      <c r="V116" s="67"/>
      <c r="W116" s="67"/>
      <c r="X116" s="42"/>
      <c r="Y116" s="65"/>
      <c r="Z116" s="67"/>
      <c r="AA116" s="67"/>
      <c r="AB116" s="94"/>
      <c r="AC116" s="67"/>
      <c r="AD116" s="67"/>
      <c r="AE116" s="110"/>
      <c r="AF116" s="42"/>
      <c r="AG116" s="67"/>
      <c r="AH116" s="23"/>
      <c r="AI116" s="17"/>
    </row>
    <row r="117" spans="1:35">
      <c r="A117" s="27" t="s">
        <v>41</v>
      </c>
      <c r="B117" s="28"/>
      <c r="C117" s="70">
        <f>SUM(C96:C116)</f>
        <v>3336232140</v>
      </c>
      <c r="D117" s="70">
        <f t="shared" ref="D117:AG117" si="2">SUM(D96:D116)</f>
        <v>4893552201</v>
      </c>
      <c r="E117" s="70">
        <f t="shared" si="2"/>
        <v>3408338913</v>
      </c>
      <c r="F117" s="70">
        <f t="shared" si="2"/>
        <v>0</v>
      </c>
      <c r="G117" s="70">
        <f t="shared" si="2"/>
        <v>3408338913</v>
      </c>
      <c r="H117" s="70">
        <f t="shared" si="2"/>
        <v>3665869604</v>
      </c>
      <c r="I117" s="70">
        <f t="shared" si="2"/>
        <v>3955053315</v>
      </c>
      <c r="J117" s="70">
        <f>SUM(J96:J116)</f>
        <v>2382260032</v>
      </c>
      <c r="K117" s="70">
        <f t="shared" si="2"/>
        <v>4654855152</v>
      </c>
      <c r="L117" s="70">
        <f t="shared" si="2"/>
        <v>0</v>
      </c>
      <c r="M117" s="70">
        <f t="shared" si="2"/>
        <v>0</v>
      </c>
      <c r="N117" s="70">
        <f>SUM(N96:N116)</f>
        <v>2748634660</v>
      </c>
      <c r="O117" s="70">
        <f t="shared" si="2"/>
        <v>7427465684</v>
      </c>
      <c r="P117" s="70">
        <f>SUM(P96:P116)</f>
        <v>1109258364</v>
      </c>
      <c r="Q117" s="70">
        <f t="shared" si="2"/>
        <v>3658776516</v>
      </c>
      <c r="R117" s="70">
        <f t="shared" si="2"/>
        <v>1546404592</v>
      </c>
      <c r="S117" s="70">
        <f t="shared" si="2"/>
        <v>0</v>
      </c>
      <c r="T117" s="70">
        <f t="shared" si="2"/>
        <v>0</v>
      </c>
      <c r="U117" s="70">
        <f t="shared" si="2"/>
        <v>2543257756</v>
      </c>
      <c r="V117" s="70">
        <f t="shared" si="2"/>
        <v>0</v>
      </c>
      <c r="W117" s="70">
        <f t="shared" si="2"/>
        <v>4816752304</v>
      </c>
      <c r="X117" s="70">
        <f t="shared" si="2"/>
        <v>0</v>
      </c>
      <c r="Y117" s="70">
        <f t="shared" si="2"/>
        <v>10473478726</v>
      </c>
      <c r="Z117" s="70">
        <f t="shared" si="2"/>
        <v>0</v>
      </c>
      <c r="AA117" s="70">
        <f t="shared" si="2"/>
        <v>0</v>
      </c>
      <c r="AB117" s="70">
        <f t="shared" si="2"/>
        <v>3299094802</v>
      </c>
      <c r="AC117" s="70">
        <f t="shared" si="2"/>
        <v>3600903460</v>
      </c>
      <c r="AD117" s="70">
        <f t="shared" si="2"/>
        <v>4801665465</v>
      </c>
      <c r="AE117" s="70">
        <f t="shared" si="2"/>
        <v>3337990396</v>
      </c>
      <c r="AF117" s="70">
        <f t="shared" si="2"/>
        <v>2431910523</v>
      </c>
      <c r="AG117" s="70">
        <f t="shared" si="2"/>
        <v>0</v>
      </c>
      <c r="AH117" s="30">
        <f>SUM(AH96:AH115)</f>
        <v>47613125792</v>
      </c>
      <c r="AI117" s="6"/>
    </row>
    <row r="118" spans="1:35">
      <c r="A118" s="387" t="s">
        <v>42</v>
      </c>
      <c r="B118" s="388"/>
      <c r="C118" s="71">
        <f t="shared" ref="C118:AG118" si="3">C93+C117</f>
        <v>3336232140</v>
      </c>
      <c r="D118" s="71">
        <f t="shared" si="3"/>
        <v>5087347634</v>
      </c>
      <c r="E118" s="31">
        <f t="shared" si="3"/>
        <v>3823056313</v>
      </c>
      <c r="F118" s="31">
        <f t="shared" si="3"/>
        <v>0</v>
      </c>
      <c r="G118" s="31">
        <f t="shared" si="3"/>
        <v>4034245173</v>
      </c>
      <c r="H118" s="31">
        <f t="shared" si="3"/>
        <v>3713993662</v>
      </c>
      <c r="I118" s="31">
        <f t="shared" si="3"/>
        <v>4254094018</v>
      </c>
      <c r="J118" s="71">
        <f t="shared" si="3"/>
        <v>2639001412</v>
      </c>
      <c r="K118" s="71">
        <f t="shared" si="3"/>
        <v>4709287002</v>
      </c>
      <c r="L118" s="31">
        <f t="shared" si="3"/>
        <v>0</v>
      </c>
      <c r="M118" s="31">
        <f t="shared" si="3"/>
        <v>0</v>
      </c>
      <c r="N118" s="31">
        <f t="shared" si="3"/>
        <v>3514330766</v>
      </c>
      <c r="O118" s="31">
        <f t="shared" si="3"/>
        <v>7463168017</v>
      </c>
      <c r="P118" s="31">
        <f t="shared" si="3"/>
        <v>3284770883</v>
      </c>
      <c r="Q118" s="31">
        <f t="shared" si="3"/>
        <v>3685992441</v>
      </c>
      <c r="R118" s="31">
        <f t="shared" si="3"/>
        <v>3069557005</v>
      </c>
      <c r="S118" s="31">
        <f t="shared" si="3"/>
        <v>0</v>
      </c>
      <c r="T118" s="31">
        <f t="shared" si="3"/>
        <v>0</v>
      </c>
      <c r="U118" s="31">
        <f t="shared" si="3"/>
        <v>4890222255</v>
      </c>
      <c r="V118" s="31">
        <f t="shared" si="3"/>
        <v>0</v>
      </c>
      <c r="W118" s="31">
        <f t="shared" si="3"/>
        <v>5680203178</v>
      </c>
      <c r="X118" s="31">
        <f t="shared" si="3"/>
        <v>0</v>
      </c>
      <c r="Y118" s="31">
        <f t="shared" si="3"/>
        <v>11084360904</v>
      </c>
      <c r="Z118" s="31">
        <f t="shared" si="3"/>
        <v>0</v>
      </c>
      <c r="AA118" s="31">
        <f t="shared" si="3"/>
        <v>0</v>
      </c>
      <c r="AB118" s="31">
        <f t="shared" si="3"/>
        <v>3692211208</v>
      </c>
      <c r="AC118" s="31">
        <f t="shared" si="3"/>
        <v>4613595621</v>
      </c>
      <c r="AD118" s="31">
        <f t="shared" si="3"/>
        <v>4921169712</v>
      </c>
      <c r="AE118" s="31">
        <f t="shared" si="3"/>
        <v>3604965396</v>
      </c>
      <c r="AF118" s="31" t="e">
        <f t="shared" si="3"/>
        <v>#REF!</v>
      </c>
      <c r="AG118" s="31">
        <f t="shared" si="3"/>
        <v>4000000000</v>
      </c>
      <c r="AH118" s="31" t="e">
        <f>SUM(C118:AG118)</f>
        <v>#REF!</v>
      </c>
    </row>
    <row r="120" spans="1:35">
      <c r="A120" s="3" t="s">
        <v>50</v>
      </c>
      <c r="C120" s="6">
        <v>11955960652</v>
      </c>
      <c r="D120" s="72">
        <v>11598364389</v>
      </c>
      <c r="E120" s="6">
        <v>10091221596</v>
      </c>
      <c r="F120" s="6"/>
      <c r="G120" s="6">
        <v>12036669296</v>
      </c>
      <c r="H120" s="6">
        <v>14007043004</v>
      </c>
      <c r="I120" s="6">
        <v>13235969516</v>
      </c>
      <c r="J120" s="6">
        <v>10813560682</v>
      </c>
      <c r="K120" s="72">
        <v>11771359660</v>
      </c>
      <c r="L120" s="6"/>
      <c r="M120" s="6"/>
      <c r="N120" s="6">
        <v>12222103699</v>
      </c>
      <c r="O120" s="6">
        <v>11998597304</v>
      </c>
      <c r="P120" s="6">
        <v>7461152590</v>
      </c>
      <c r="Q120" s="6">
        <v>7439687577</v>
      </c>
      <c r="R120" s="6">
        <v>7121182772</v>
      </c>
      <c r="S120" s="6"/>
      <c r="T120" s="6"/>
      <c r="U120" s="6">
        <v>9034164258</v>
      </c>
      <c r="V120" s="6"/>
      <c r="W120" s="6">
        <v>7455978026</v>
      </c>
      <c r="Y120" s="6">
        <v>13444640089</v>
      </c>
      <c r="Z120" s="6"/>
      <c r="AA120" s="6"/>
      <c r="AB120" s="40">
        <v>8471248441</v>
      </c>
      <c r="AC120" s="6">
        <v>7856081920</v>
      </c>
      <c r="AD120" s="6">
        <v>6128799555</v>
      </c>
      <c r="AE120" s="6">
        <v>4896370669</v>
      </c>
      <c r="AF120" s="6">
        <v>4758681398</v>
      </c>
      <c r="AG120" s="6">
        <v>5791997380</v>
      </c>
    </row>
    <row r="121" spans="1:35">
      <c r="A121" s="3" t="s">
        <v>139</v>
      </c>
      <c r="C121" s="72">
        <f>C120-C118</f>
        <v>8619728512</v>
      </c>
      <c r="D121" s="74">
        <f>D120-D118</f>
        <v>6511016755</v>
      </c>
      <c r="E121" s="43">
        <f>E120-E118</f>
        <v>6268165283</v>
      </c>
      <c r="F121" s="43"/>
      <c r="G121" s="43">
        <f>G120-G118</f>
        <v>8002424123</v>
      </c>
      <c r="H121" s="6">
        <f>H120-H118</f>
        <v>10293049342</v>
      </c>
      <c r="I121" s="43">
        <f>I120-I118</f>
        <v>8981875498</v>
      </c>
      <c r="J121" s="80">
        <f>J120-J118</f>
        <v>8174559270</v>
      </c>
      <c r="K121" s="80">
        <f>K120-K118</f>
        <v>7062072658</v>
      </c>
      <c r="L121" s="43"/>
      <c r="M121" s="43"/>
      <c r="N121" s="40">
        <f>N120-N118</f>
        <v>8707772933</v>
      </c>
      <c r="O121" s="40">
        <f>O120-O118</f>
        <v>4535429287</v>
      </c>
      <c r="P121" s="40">
        <f>P120-P118</f>
        <v>4176381707</v>
      </c>
      <c r="Q121" s="40">
        <f>Q120-Q118</f>
        <v>3753695136</v>
      </c>
      <c r="R121" s="43">
        <f>R120-R118</f>
        <v>4051625767</v>
      </c>
      <c r="S121" s="6"/>
      <c r="T121" s="6"/>
      <c r="U121" s="40">
        <f>U120-U118</f>
        <v>4143942003</v>
      </c>
      <c r="V121" s="40"/>
      <c r="W121" s="43">
        <f>W120-W118</f>
        <v>1775774848</v>
      </c>
      <c r="Y121" s="43">
        <f>Y120-Y118</f>
        <v>2360279185</v>
      </c>
      <c r="Z121" s="6"/>
      <c r="AA121" s="6"/>
      <c r="AB121" s="40">
        <f>AB120-AB118</f>
        <v>4779037233</v>
      </c>
      <c r="AC121" s="43">
        <f>AC120-AC118</f>
        <v>3242486299</v>
      </c>
      <c r="AD121" s="43">
        <f>AD120-AD118</f>
        <v>1207629843</v>
      </c>
      <c r="AE121" s="125">
        <f>AE120-AE118</f>
        <v>1291405273</v>
      </c>
      <c r="AF121" s="67" t="e">
        <f>AF120-AF118</f>
        <v>#REF!</v>
      </c>
      <c r="AG121" s="67">
        <v>14964393105</v>
      </c>
    </row>
    <row r="122" spans="1:35">
      <c r="A122" s="3" t="s">
        <v>181</v>
      </c>
      <c r="C122" s="72">
        <v>2310440733</v>
      </c>
      <c r="D122" s="74">
        <v>2787642843</v>
      </c>
      <c r="G122" s="6">
        <v>2423234008</v>
      </c>
      <c r="H122" s="6">
        <v>2202389493</v>
      </c>
      <c r="I122" s="6">
        <v>2031953162</v>
      </c>
      <c r="J122" s="72">
        <v>2192322289</v>
      </c>
      <c r="K122" s="72">
        <v>2512455206</v>
      </c>
      <c r="N122" s="6">
        <v>2201659782</v>
      </c>
      <c r="O122" s="6">
        <v>2073782809</v>
      </c>
      <c r="P122" s="6">
        <v>2512009418</v>
      </c>
      <c r="Q122" s="6">
        <v>2045062766</v>
      </c>
      <c r="R122" s="6">
        <v>2329415688</v>
      </c>
      <c r="S122" s="6"/>
      <c r="T122" s="6"/>
      <c r="U122" s="6">
        <v>2182162889</v>
      </c>
      <c r="W122" s="6">
        <v>3205028570</v>
      </c>
      <c r="Y122" s="40">
        <v>2404685842</v>
      </c>
      <c r="Z122" s="6"/>
      <c r="AA122" s="6"/>
      <c r="AB122" s="6">
        <v>2063224514</v>
      </c>
      <c r="AC122" s="6">
        <v>2356854577</v>
      </c>
      <c r="AD122" s="40">
        <v>2661388018</v>
      </c>
      <c r="AE122" s="6">
        <v>2631777492</v>
      </c>
      <c r="AF122" s="6">
        <v>2472958895</v>
      </c>
    </row>
    <row r="123" spans="1:35">
      <c r="A123" s="3" t="s">
        <v>139</v>
      </c>
      <c r="C123" s="74">
        <f>C121+C122</f>
        <v>10930169245</v>
      </c>
      <c r="D123" s="74">
        <f>D121+D122</f>
        <v>9298659598</v>
      </c>
      <c r="G123" s="6">
        <f>G121+G122</f>
        <v>10425658131</v>
      </c>
      <c r="H123" s="6">
        <f>H121+H122</f>
        <v>12495438835</v>
      </c>
      <c r="I123" s="6">
        <f>I121+I122</f>
        <v>11013828660</v>
      </c>
      <c r="J123" s="72">
        <f>J121+J122</f>
        <v>10366881559</v>
      </c>
      <c r="K123" s="72">
        <f>K121+K122</f>
        <v>9574527864</v>
      </c>
      <c r="N123" s="6">
        <f>N121+N122</f>
        <v>10909432715</v>
      </c>
      <c r="O123" s="6">
        <f>O121+O122</f>
        <v>6609212096</v>
      </c>
      <c r="P123" s="6">
        <f>P121+P122</f>
        <v>6688391125</v>
      </c>
      <c r="Q123" s="6">
        <f>Q121+Q122</f>
        <v>5798757902</v>
      </c>
      <c r="R123" s="43">
        <f>R121+R122</f>
        <v>6381041455</v>
      </c>
      <c r="S123" s="43"/>
      <c r="T123" s="43"/>
      <c r="U123" s="6">
        <f>U121+U122</f>
        <v>6326104892</v>
      </c>
      <c r="W123" s="6">
        <f>W121+W122</f>
        <v>4980803418</v>
      </c>
      <c r="Y123" s="40">
        <f>Y121+Y122</f>
        <v>4764965027</v>
      </c>
      <c r="Z123" s="43"/>
      <c r="AA123" s="43"/>
      <c r="AB123" s="6">
        <f>AB121+AB122</f>
        <v>6842261747</v>
      </c>
      <c r="AC123" s="6">
        <f>AC121+AC122</f>
        <v>5599340876</v>
      </c>
      <c r="AD123" s="43">
        <f>AD121+AD122</f>
        <v>3869017861</v>
      </c>
      <c r="AE123" s="6">
        <f>AE121+AE122</f>
        <v>3923182765</v>
      </c>
      <c r="AF123" s="40" t="e">
        <f>AF121+AF122</f>
        <v>#REF!</v>
      </c>
    </row>
    <row r="124" spans="1:35">
      <c r="I124" s="6"/>
      <c r="J124" s="72"/>
      <c r="K124" s="80"/>
      <c r="N124" s="6"/>
      <c r="P124" s="6"/>
      <c r="U124" s="6"/>
      <c r="Z124" s="43"/>
      <c r="AB124" s="6"/>
    </row>
    <row r="125" spans="1:35">
      <c r="G125" s="3" t="s">
        <v>112</v>
      </c>
      <c r="I125" s="43"/>
      <c r="K125" s="74">
        <f>J123-K118</f>
        <v>5657594557</v>
      </c>
      <c r="X125" s="43">
        <f>Y120-7122726463</f>
        <v>6321913626</v>
      </c>
    </row>
    <row r="126" spans="1:35">
      <c r="G126" s="3" t="s">
        <v>107</v>
      </c>
      <c r="Y126" s="6"/>
      <c r="AD126" s="41" t="s">
        <v>120</v>
      </c>
      <c r="AE126" s="42">
        <v>35472809</v>
      </c>
      <c r="AF126" s="41" t="s">
        <v>128</v>
      </c>
      <c r="AG126" s="116">
        <f>12601000+58786100+70661200</f>
        <v>142048300</v>
      </c>
      <c r="AH126" s="41" t="s">
        <v>131</v>
      </c>
      <c r="AI126" s="42">
        <v>24220575</v>
      </c>
    </row>
    <row r="127" spans="1:35">
      <c r="C127" s="3"/>
      <c r="D127" s="3"/>
      <c r="AD127" s="41" t="s">
        <v>121</v>
      </c>
      <c r="AE127" s="42">
        <v>14204180</v>
      </c>
      <c r="AF127" s="41" t="s">
        <v>129</v>
      </c>
      <c r="AG127" s="116">
        <v>1130000</v>
      </c>
      <c r="AH127" s="41" t="s">
        <v>132</v>
      </c>
      <c r="AI127" s="42">
        <v>29013000</v>
      </c>
    </row>
    <row r="128" spans="1:35">
      <c r="S128" s="44">
        <v>44256</v>
      </c>
      <c r="U128" s="44"/>
      <c r="AD128" s="41" t="s">
        <v>122</v>
      </c>
      <c r="AE128" s="42">
        <v>38068270</v>
      </c>
      <c r="AF128" s="41" t="s">
        <v>130</v>
      </c>
      <c r="AG128" s="116">
        <v>124601500</v>
      </c>
      <c r="AH128" s="41" t="s">
        <v>127</v>
      </c>
      <c r="AI128" s="42">
        <v>43960805</v>
      </c>
    </row>
    <row r="129" spans="3:35" ht="15">
      <c r="C129" s="3"/>
      <c r="D129" s="3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/>
      <c r="X129"/>
      <c r="Y129"/>
      <c r="AD129" s="41" t="s">
        <v>123</v>
      </c>
      <c r="AE129" s="42">
        <v>37755482</v>
      </c>
      <c r="AF129" s="32" t="s">
        <v>6</v>
      </c>
      <c r="AG129" s="117">
        <f>SUM(AG126:AG128)</f>
        <v>267779800</v>
      </c>
      <c r="AH129" s="41" t="s">
        <v>133</v>
      </c>
      <c r="AI129" s="42">
        <v>16297393</v>
      </c>
    </row>
    <row r="130" spans="3:35" ht="15">
      <c r="C130" s="3"/>
      <c r="D130" s="3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389" t="s">
        <v>240</v>
      </c>
      <c r="X130" s="389"/>
      <c r="Y130" s="389"/>
      <c r="Z130" s="389"/>
      <c r="AD130" s="41" t="s">
        <v>124</v>
      </c>
      <c r="AE130" s="42">
        <v>120074200</v>
      </c>
      <c r="AG130" s="6"/>
      <c r="AH130" s="41" t="s">
        <v>134</v>
      </c>
      <c r="AI130" s="42">
        <v>71402128</v>
      </c>
    </row>
    <row r="131" spans="3:35" ht="15">
      <c r="C131" s="3"/>
      <c r="D131" s="3"/>
      <c r="M131" s="45"/>
      <c r="N131" s="45"/>
      <c r="O131" s="45"/>
      <c r="P131" s="45"/>
      <c r="Q131" s="45" t="s">
        <v>108</v>
      </c>
      <c r="R131" s="45"/>
      <c r="S131" s="45"/>
      <c r="T131" s="45"/>
      <c r="U131" s="45"/>
      <c r="V131" s="45"/>
      <c r="W131"/>
      <c r="X131"/>
      <c r="Y131"/>
      <c r="AC131" s="3" t="s">
        <v>111</v>
      </c>
      <c r="AD131" s="41" t="s">
        <v>125</v>
      </c>
      <c r="AE131" s="42">
        <v>39264697</v>
      </c>
      <c r="AG131" s="6"/>
      <c r="AH131" s="41" t="s">
        <v>135</v>
      </c>
      <c r="AI131" s="42">
        <v>70219456</v>
      </c>
    </row>
    <row r="132" spans="3:35" ht="15">
      <c r="C132" s="3"/>
      <c r="D132" s="3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127" t="s">
        <v>229</v>
      </c>
      <c r="X132" s="127" t="s">
        <v>230</v>
      </c>
      <c r="Y132" s="127" t="s">
        <v>231</v>
      </c>
      <c r="Z132" s="128" t="s">
        <v>233</v>
      </c>
      <c r="AD132" s="41" t="s">
        <v>126</v>
      </c>
      <c r="AE132" s="42">
        <v>3066461</v>
      </c>
      <c r="AG132" s="6"/>
      <c r="AH132" s="41" t="s">
        <v>120</v>
      </c>
      <c r="AI132" s="42">
        <v>6461250</v>
      </c>
    </row>
    <row r="133" spans="3:35" ht="15">
      <c r="C133" s="3"/>
      <c r="D133" s="3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129">
        <v>44398</v>
      </c>
      <c r="X133" s="130" t="s">
        <v>232</v>
      </c>
      <c r="Y133" s="131">
        <v>1250000</v>
      </c>
      <c r="Z133" s="41" t="s">
        <v>234</v>
      </c>
      <c r="AD133" s="41" t="s">
        <v>127</v>
      </c>
      <c r="AE133" s="42">
        <v>1150000</v>
      </c>
      <c r="AG133" s="6"/>
      <c r="AH133" s="41" t="s">
        <v>121</v>
      </c>
      <c r="AI133" s="42">
        <v>2735500</v>
      </c>
    </row>
    <row r="134" spans="3:35" ht="15">
      <c r="C134" s="3"/>
      <c r="D134" s="3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129">
        <v>44398</v>
      </c>
      <c r="X134" s="130" t="s">
        <v>235</v>
      </c>
      <c r="Y134" s="131">
        <v>5758500</v>
      </c>
      <c r="Z134" s="41" t="s">
        <v>238</v>
      </c>
      <c r="AD134" s="32" t="s">
        <v>6</v>
      </c>
      <c r="AE134" s="115">
        <f>SUM(AE126:AE133)</f>
        <v>289056099</v>
      </c>
      <c r="AH134" s="41" t="s">
        <v>136</v>
      </c>
      <c r="AI134" s="42">
        <v>26692000</v>
      </c>
    </row>
    <row r="135" spans="3:35" ht="15">
      <c r="C135" s="3"/>
      <c r="D135" s="3"/>
      <c r="M135" s="45" t="s">
        <v>97</v>
      </c>
      <c r="N135" s="45"/>
      <c r="O135" s="45"/>
      <c r="P135" s="45"/>
      <c r="Q135" s="45"/>
      <c r="R135" s="45"/>
      <c r="S135" s="45"/>
      <c r="T135" s="45"/>
      <c r="U135" s="45"/>
      <c r="V135" s="45"/>
      <c r="W135" s="129">
        <v>44398</v>
      </c>
      <c r="X135" s="130" t="s">
        <v>235</v>
      </c>
      <c r="Y135" s="131">
        <v>33905000</v>
      </c>
      <c r="Z135" s="41" t="s">
        <v>239</v>
      </c>
      <c r="AH135" s="41" t="s">
        <v>123</v>
      </c>
      <c r="AI135" s="42">
        <v>27332750</v>
      </c>
    </row>
    <row r="136" spans="3:35" ht="15">
      <c r="C136" s="3"/>
      <c r="D136" s="3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129">
        <v>44398</v>
      </c>
      <c r="X136" s="130" t="s">
        <v>236</v>
      </c>
      <c r="Y136" s="131">
        <f>1050000+2100000</f>
        <v>3150000</v>
      </c>
      <c r="Z136" s="41" t="s">
        <v>237</v>
      </c>
      <c r="AH136" s="41" t="s">
        <v>124</v>
      </c>
      <c r="AI136" s="42">
        <v>46899155</v>
      </c>
    </row>
    <row r="137" spans="3:35" ht="15">
      <c r="C137" s="3"/>
      <c r="D137" s="3"/>
      <c r="M137"/>
      <c r="N137"/>
      <c r="O137" s="46"/>
      <c r="P137" s="46"/>
      <c r="Q137" s="46"/>
      <c r="R137" s="46"/>
      <c r="S137" s="46"/>
      <c r="T137" s="46"/>
      <c r="U137" s="46"/>
      <c r="V137" s="47"/>
      <c r="W137" s="46"/>
      <c r="X137"/>
      <c r="Y137" s="132"/>
      <c r="AH137" s="41" t="s">
        <v>125</v>
      </c>
      <c r="AI137" s="42">
        <v>43312000</v>
      </c>
    </row>
    <row r="138" spans="3:35" ht="15">
      <c r="C138" s="3"/>
      <c r="D138" s="3"/>
      <c r="M138"/>
      <c r="N138"/>
      <c r="O138" s="46"/>
      <c r="P138" s="46"/>
      <c r="Q138" s="46"/>
      <c r="R138" s="46"/>
      <c r="S138" s="46"/>
      <c r="T138" s="46"/>
      <c r="U138" s="46"/>
      <c r="V138" s="47"/>
      <c r="W138" s="46"/>
      <c r="X138" t="s">
        <v>241</v>
      </c>
      <c r="Y138" s="133">
        <f>SUM(Y133:Y137)</f>
        <v>44063500</v>
      </c>
      <c r="AH138" s="41" t="s">
        <v>138</v>
      </c>
      <c r="AI138" s="42">
        <v>2134000</v>
      </c>
    </row>
    <row r="139" spans="3:35" ht="15">
      <c r="C139" s="3"/>
      <c r="D139" s="3"/>
      <c r="M139"/>
      <c r="N139"/>
      <c r="O139" s="46"/>
      <c r="P139" s="46"/>
      <c r="Q139" s="46"/>
      <c r="R139" s="46"/>
      <c r="S139" s="46"/>
      <c r="T139" s="46"/>
      <c r="U139" s="46"/>
      <c r="V139" s="46"/>
      <c r="W139" s="46"/>
      <c r="X139"/>
      <c r="Y139"/>
      <c r="AH139" s="41" t="s">
        <v>137</v>
      </c>
      <c r="AI139" s="42">
        <v>353453</v>
      </c>
    </row>
    <row r="140" spans="3:35">
      <c r="AH140" s="32" t="s">
        <v>6</v>
      </c>
      <c r="AI140" s="115">
        <f>SUM(AI126:AI139)</f>
        <v>411033465</v>
      </c>
    </row>
    <row r="141" spans="3:35">
      <c r="AI141" s="6"/>
    </row>
    <row r="142" spans="3:35">
      <c r="AI142" s="6"/>
    </row>
    <row r="143" spans="3:35">
      <c r="AI143" s="6"/>
    </row>
    <row r="144" spans="3:35">
      <c r="AI144" s="6"/>
    </row>
    <row r="145" spans="35:35" s="3" customFormat="1">
      <c r="AI145" s="6"/>
    </row>
    <row r="146" spans="35:35" s="3" customFormat="1">
      <c r="AI146" s="6"/>
    </row>
  </sheetData>
  <mergeCells count="3">
    <mergeCell ref="C4:AG4"/>
    <mergeCell ref="A118:B118"/>
    <mergeCell ref="W130:Z130"/>
  </mergeCells>
  <pageMargins left="0.70866141732283472" right="0.70866141732283472" top="0.19685039370078741" bottom="0.19685039370078741" header="0.31496062992125984" footer="0.31496062992125984"/>
  <pageSetup paperSize="9" scale="18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160"/>
  <sheetViews>
    <sheetView topLeftCell="X1" zoomScale="90" zoomScaleNormal="90" workbookViewId="0">
      <selection activeCell="AE28" sqref="AE28"/>
    </sheetView>
  </sheetViews>
  <sheetFormatPr defaultRowHeight="12.75"/>
  <cols>
    <col min="1" max="1" width="34.140625" style="3" customWidth="1"/>
    <col min="2" max="2" width="8.7109375" style="3" customWidth="1"/>
    <col min="3" max="3" width="9.7109375" style="64" customWidth="1"/>
    <col min="4" max="4" width="10.140625" style="64" customWidth="1"/>
    <col min="5" max="5" width="8.85546875" style="3" customWidth="1"/>
    <col min="6" max="6" width="14.7109375" style="3" customWidth="1"/>
    <col min="7" max="7" width="16.140625" style="3" customWidth="1"/>
    <col min="8" max="8" width="22.140625" style="3" customWidth="1"/>
    <col min="9" max="9" width="10" style="3" customWidth="1"/>
    <col min="10" max="10" width="19.85546875" style="64" customWidth="1"/>
    <col min="11" max="11" width="16.85546875" style="64" customWidth="1"/>
    <col min="12" max="12" width="16.5703125" style="3" customWidth="1"/>
    <col min="13" max="14" width="17.5703125" style="3" customWidth="1"/>
    <col min="15" max="15" width="18.28515625" style="3" customWidth="1"/>
    <col min="16" max="16" width="16" style="3" customWidth="1"/>
    <col min="17" max="17" width="15.85546875" style="3" customWidth="1"/>
    <col min="18" max="18" width="17.28515625" style="3" customWidth="1"/>
    <col min="19" max="19" width="17.140625" style="3" customWidth="1"/>
    <col min="20" max="20" width="18.28515625" style="3" customWidth="1"/>
    <col min="21" max="22" width="15.28515625" style="3" customWidth="1"/>
    <col min="23" max="23" width="20.42578125" style="3" customWidth="1"/>
    <col min="24" max="24" width="17" style="3" customWidth="1"/>
    <col min="25" max="25" width="16.5703125" style="3" customWidth="1"/>
    <col min="26" max="26" width="22.42578125" style="3" customWidth="1"/>
    <col min="27" max="27" width="17" style="3" customWidth="1"/>
    <col min="28" max="28" width="15.5703125" style="3" customWidth="1"/>
    <col min="29" max="29" width="16.140625" style="3" customWidth="1"/>
    <col min="30" max="30" width="21.7109375" style="3" customWidth="1"/>
    <col min="31" max="31" width="16.28515625" style="3" customWidth="1"/>
    <col min="32" max="32" width="17.5703125" style="3" customWidth="1"/>
    <col min="33" max="33" width="15" style="3" customWidth="1"/>
    <col min="34" max="34" width="20.28515625" style="3" customWidth="1"/>
    <col min="35" max="35" width="13" style="3" customWidth="1"/>
    <col min="36" max="36" width="12.85546875" style="3" customWidth="1"/>
    <col min="37" max="37" width="19.140625" style="3" customWidth="1"/>
    <col min="38" max="16384" width="9.140625" style="3"/>
  </cols>
  <sheetData>
    <row r="1" spans="1:35">
      <c r="A1" s="1" t="s">
        <v>0</v>
      </c>
      <c r="B1" s="2"/>
      <c r="C1" s="62"/>
      <c r="D1" s="62"/>
      <c r="E1" s="2"/>
      <c r="F1" s="2"/>
      <c r="G1" s="2"/>
      <c r="H1" s="2"/>
      <c r="I1" s="2"/>
      <c r="J1" s="62"/>
      <c r="K1" s="6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s="6" customFormat="1">
      <c r="A2" s="4" t="s">
        <v>1</v>
      </c>
      <c r="B2" s="5"/>
      <c r="C2" s="63"/>
      <c r="D2" s="63"/>
      <c r="E2" s="5"/>
      <c r="F2" s="5"/>
      <c r="G2" s="5"/>
      <c r="H2" s="5"/>
      <c r="I2" s="5"/>
      <c r="J2" s="63"/>
      <c r="K2" s="63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>
      <c r="A3" s="7" t="s">
        <v>2</v>
      </c>
      <c r="B3" s="8">
        <v>44409</v>
      </c>
      <c r="C3" s="63"/>
      <c r="D3" s="63"/>
      <c r="E3" s="5"/>
      <c r="F3" s="5"/>
      <c r="G3" s="5"/>
      <c r="H3" s="5"/>
      <c r="I3" s="5"/>
      <c r="J3" s="63"/>
      <c r="K3" s="63"/>
      <c r="L3" s="5"/>
      <c r="M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>
      <c r="A4" s="34" t="s">
        <v>3</v>
      </c>
      <c r="B4" s="35" t="s">
        <v>4</v>
      </c>
      <c r="C4" s="384" t="s">
        <v>5</v>
      </c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6"/>
      <c r="AH4" s="36" t="s">
        <v>6</v>
      </c>
      <c r="AI4" s="6"/>
    </row>
    <row r="5" spans="1:35">
      <c r="A5" s="34"/>
      <c r="B5" s="35"/>
      <c r="C5" s="37">
        <v>215</v>
      </c>
      <c r="D5" s="37">
        <v>216</v>
      </c>
      <c r="E5" s="37">
        <v>217</v>
      </c>
      <c r="F5" s="37">
        <v>218</v>
      </c>
      <c r="G5" s="37">
        <v>219</v>
      </c>
      <c r="H5" s="37">
        <v>220</v>
      </c>
      <c r="I5" s="37">
        <v>221</v>
      </c>
      <c r="J5" s="37">
        <v>222</v>
      </c>
      <c r="K5" s="37">
        <v>223</v>
      </c>
      <c r="L5" s="37">
        <v>224</v>
      </c>
      <c r="M5" s="37">
        <v>225</v>
      </c>
      <c r="N5" s="37">
        <v>226</v>
      </c>
      <c r="O5" s="37">
        <v>227</v>
      </c>
      <c r="P5" s="37">
        <v>228</v>
      </c>
      <c r="Q5" s="37">
        <v>229</v>
      </c>
      <c r="R5" s="37">
        <v>230</v>
      </c>
      <c r="S5" s="37">
        <v>231</v>
      </c>
      <c r="T5" s="37">
        <v>232</v>
      </c>
      <c r="U5" s="37">
        <v>233</v>
      </c>
      <c r="V5" s="37">
        <v>234</v>
      </c>
      <c r="W5" s="37">
        <v>235</v>
      </c>
      <c r="X5" s="37">
        <v>236</v>
      </c>
      <c r="Y5" s="37">
        <v>237</v>
      </c>
      <c r="Z5" s="37">
        <v>238</v>
      </c>
      <c r="AA5" s="37">
        <v>239</v>
      </c>
      <c r="AB5" s="37">
        <v>240</v>
      </c>
      <c r="AC5" s="37">
        <v>241</v>
      </c>
      <c r="AD5" s="37">
        <v>242</v>
      </c>
      <c r="AE5" s="37">
        <v>243</v>
      </c>
      <c r="AF5" s="37">
        <v>244</v>
      </c>
      <c r="AG5" s="37">
        <v>245</v>
      </c>
      <c r="AH5" s="36"/>
      <c r="AI5" s="6"/>
    </row>
    <row r="6" spans="1:35">
      <c r="A6" s="10" t="s">
        <v>7</v>
      </c>
      <c r="B6" s="11"/>
      <c r="C6" s="14"/>
      <c r="D6" s="13"/>
      <c r="E6" s="14"/>
      <c r="F6" s="14"/>
      <c r="G6" s="14"/>
      <c r="H6" s="14"/>
      <c r="I6" s="14"/>
      <c r="J6" s="13"/>
      <c r="K6" s="13"/>
      <c r="L6" s="14"/>
      <c r="M6" s="14"/>
      <c r="N6" s="14"/>
      <c r="O6" s="13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2"/>
      <c r="AI6" s="6"/>
    </row>
    <row r="7" spans="1:35">
      <c r="A7" s="15" t="s">
        <v>48</v>
      </c>
      <c r="B7" s="11"/>
      <c r="C7" s="48"/>
      <c r="D7" s="73"/>
      <c r="E7" s="41"/>
      <c r="F7" s="41"/>
      <c r="G7" s="48"/>
      <c r="H7" s="50"/>
      <c r="I7" s="41"/>
      <c r="J7" s="73"/>
      <c r="K7" s="73"/>
      <c r="L7" s="48"/>
      <c r="M7" s="48"/>
      <c r="N7" s="87"/>
      <c r="O7" s="41"/>
      <c r="P7" s="94"/>
      <c r="Q7" s="48"/>
      <c r="R7" s="73"/>
      <c r="S7" s="50"/>
      <c r="T7" s="73"/>
      <c r="U7" s="73"/>
      <c r="V7" s="48"/>
      <c r="W7" s="48"/>
      <c r="X7" s="73"/>
      <c r="Y7" s="48"/>
      <c r="Z7" s="48"/>
      <c r="AA7" s="73">
        <v>417412710</v>
      </c>
      <c r="AB7" s="48"/>
      <c r="AC7" s="48"/>
      <c r="AD7" s="48"/>
      <c r="AE7" s="48"/>
      <c r="AF7" s="48">
        <v>1867095876</v>
      </c>
      <c r="AG7" s="48"/>
      <c r="AH7" s="14">
        <f>SUM(C7:AG7)</f>
        <v>2284508586</v>
      </c>
      <c r="AI7" s="17"/>
    </row>
    <row r="8" spans="1:35">
      <c r="A8" s="15" t="s">
        <v>49</v>
      </c>
      <c r="B8" s="11"/>
      <c r="C8" s="48"/>
      <c r="D8" s="73"/>
      <c r="E8" s="48"/>
      <c r="F8" s="48"/>
      <c r="G8" s="48"/>
      <c r="H8" s="48"/>
      <c r="I8" s="48"/>
      <c r="J8" s="78"/>
      <c r="K8" s="73"/>
      <c r="L8" s="48"/>
      <c r="M8" s="48"/>
      <c r="N8" s="48"/>
      <c r="O8" s="86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14">
        <f>SUM(C8:AG8)</f>
        <v>0</v>
      </c>
      <c r="AI8" s="17"/>
    </row>
    <row r="9" spans="1:35">
      <c r="A9" s="15" t="s">
        <v>8</v>
      </c>
      <c r="B9" s="11"/>
      <c r="C9" s="48"/>
      <c r="D9" s="73"/>
      <c r="E9" s="48"/>
      <c r="F9" s="48"/>
      <c r="G9" s="48"/>
      <c r="H9" s="48"/>
      <c r="I9" s="48"/>
      <c r="J9" s="78"/>
      <c r="K9" s="78"/>
      <c r="L9" s="41"/>
      <c r="M9" s="41"/>
      <c r="N9" s="50"/>
      <c r="O9" s="86"/>
      <c r="P9" s="41"/>
      <c r="Q9" s="42">
        <v>141521796</v>
      </c>
      <c r="R9" s="41"/>
      <c r="S9" s="73"/>
      <c r="T9" s="48"/>
      <c r="U9" s="73"/>
      <c r="V9" s="73"/>
      <c r="W9" s="48"/>
      <c r="X9" s="73"/>
      <c r="Y9" s="73"/>
      <c r="Z9" s="48"/>
      <c r="AA9" s="73"/>
      <c r="AB9" s="73"/>
      <c r="AC9" s="48"/>
      <c r="AD9" s="48"/>
      <c r="AE9" s="73"/>
      <c r="AF9" s="48"/>
      <c r="AG9" s="48"/>
      <c r="AH9" s="14">
        <f>SUM(C9:AG9)</f>
        <v>141521796</v>
      </c>
      <c r="AI9" s="17"/>
    </row>
    <row r="10" spans="1:35">
      <c r="A10" s="15" t="s">
        <v>9</v>
      </c>
      <c r="B10" s="11"/>
      <c r="C10" s="48"/>
      <c r="D10" s="73"/>
      <c r="E10" s="48"/>
      <c r="F10" s="48"/>
      <c r="G10" s="48"/>
      <c r="H10" s="48"/>
      <c r="I10" s="48"/>
      <c r="J10" s="78"/>
      <c r="K10" s="73"/>
      <c r="L10" s="48"/>
      <c r="M10" s="48"/>
      <c r="N10" s="48"/>
      <c r="O10" s="86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14">
        <f>SUM(C10:AG10)</f>
        <v>0</v>
      </c>
      <c r="AI10" s="17"/>
    </row>
    <row r="11" spans="1:35">
      <c r="A11" s="15" t="s">
        <v>10</v>
      </c>
      <c r="B11" s="11"/>
      <c r="C11" s="48"/>
      <c r="D11" s="102"/>
      <c r="E11" s="48"/>
      <c r="F11" s="48"/>
      <c r="G11" s="50"/>
      <c r="H11" s="48"/>
      <c r="I11" s="41"/>
      <c r="J11" s="48"/>
      <c r="K11" s="102"/>
      <c r="L11" s="50"/>
      <c r="M11" s="73"/>
      <c r="N11" s="50"/>
      <c r="O11" s="50"/>
      <c r="P11" s="48"/>
      <c r="Q11" s="48"/>
      <c r="R11" s="48"/>
      <c r="S11" s="48"/>
      <c r="T11" s="50"/>
      <c r="U11" s="48"/>
      <c r="V11" s="48"/>
      <c r="W11" s="48"/>
      <c r="X11" s="48"/>
      <c r="Y11" s="48"/>
      <c r="Z11" s="48"/>
      <c r="AA11" s="48"/>
      <c r="AB11" s="50"/>
      <c r="AC11" s="48"/>
      <c r="AD11" s="48"/>
      <c r="AE11" s="48"/>
      <c r="AF11" s="48"/>
      <c r="AG11" s="48"/>
      <c r="AH11" s="14">
        <f>SUM(E11:AG11)</f>
        <v>0</v>
      </c>
      <c r="AI11" s="17"/>
    </row>
    <row r="12" spans="1:35">
      <c r="A12" s="15" t="s">
        <v>205</v>
      </c>
      <c r="B12" s="11"/>
      <c r="C12" s="78"/>
      <c r="D12" s="90"/>
      <c r="E12" s="86"/>
      <c r="F12" s="86"/>
      <c r="G12" s="41"/>
      <c r="H12" s="41"/>
      <c r="I12" s="41"/>
      <c r="J12" s="86"/>
      <c r="K12" s="86"/>
      <c r="L12" s="48"/>
      <c r="M12" s="86"/>
      <c r="N12" s="86"/>
      <c r="O12" s="41"/>
      <c r="P12" s="41"/>
      <c r="Q12" s="86"/>
      <c r="R12" s="41"/>
      <c r="S12" s="86"/>
      <c r="T12" s="86"/>
      <c r="U12" s="86"/>
      <c r="V12" s="86"/>
      <c r="W12" s="41"/>
      <c r="X12" s="86"/>
      <c r="Y12" s="86"/>
      <c r="Z12" s="86"/>
      <c r="AA12" s="86"/>
      <c r="AB12" s="86"/>
      <c r="AC12" s="41"/>
      <c r="AD12" s="41"/>
      <c r="AE12" s="86"/>
      <c r="AF12" s="86">
        <v>21000000</v>
      </c>
      <c r="AG12" s="48"/>
      <c r="AH12" s="14">
        <f>SUM(F12:AG12)</f>
        <v>21000000</v>
      </c>
      <c r="AI12" s="17"/>
    </row>
    <row r="13" spans="1:35">
      <c r="A13" s="15" t="s">
        <v>206</v>
      </c>
      <c r="B13" s="11"/>
      <c r="C13" s="78"/>
      <c r="D13" s="90"/>
      <c r="E13" s="86"/>
      <c r="F13" s="86"/>
      <c r="G13" s="41"/>
      <c r="H13" s="41"/>
      <c r="I13" s="41"/>
      <c r="J13" s="86"/>
      <c r="K13" s="86"/>
      <c r="L13" s="48"/>
      <c r="M13" s="86"/>
      <c r="N13" s="86"/>
      <c r="O13" s="41"/>
      <c r="P13" s="41"/>
      <c r="Q13" s="86"/>
      <c r="R13" s="41"/>
      <c r="S13" s="86"/>
      <c r="T13" s="86"/>
      <c r="U13" s="86"/>
      <c r="V13" s="86"/>
      <c r="W13" s="41"/>
      <c r="X13" s="86"/>
      <c r="Y13" s="86"/>
      <c r="Z13" s="86"/>
      <c r="AA13" s="86"/>
      <c r="AB13" s="86"/>
      <c r="AC13" s="41"/>
      <c r="AD13" s="41"/>
      <c r="AE13" s="86"/>
      <c r="AF13" s="86">
        <v>14000000</v>
      </c>
      <c r="AG13" s="48"/>
      <c r="AH13" s="14"/>
      <c r="AI13" s="17"/>
    </row>
    <row r="14" spans="1:35">
      <c r="A14" s="15" t="s">
        <v>190</v>
      </c>
      <c r="B14" s="11"/>
      <c r="C14" s="86"/>
      <c r="D14" s="73"/>
      <c r="E14" s="73"/>
      <c r="F14" s="73"/>
      <c r="G14" s="73"/>
      <c r="H14" s="48"/>
      <c r="I14" s="73"/>
      <c r="J14" s="78"/>
      <c r="K14" s="78"/>
      <c r="L14" s="48"/>
      <c r="M14" s="78"/>
      <c r="N14" s="78"/>
      <c r="O14" s="48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8"/>
      <c r="AH14" s="14"/>
      <c r="AI14" s="17"/>
    </row>
    <row r="15" spans="1:35">
      <c r="A15" s="15" t="s">
        <v>191</v>
      </c>
      <c r="B15" s="11"/>
      <c r="C15" s="73"/>
      <c r="D15" s="73"/>
      <c r="E15" s="73"/>
      <c r="F15" s="73"/>
      <c r="G15" s="73"/>
      <c r="H15" s="48"/>
      <c r="I15" s="73"/>
      <c r="J15" s="78"/>
      <c r="K15" s="78"/>
      <c r="L15" s="48"/>
      <c r="M15" s="78"/>
      <c r="N15" s="78"/>
      <c r="O15" s="48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8"/>
      <c r="AH15" s="14"/>
      <c r="AI15" s="17"/>
    </row>
    <row r="16" spans="1:35">
      <c r="A16" s="18" t="s">
        <v>12</v>
      </c>
      <c r="B16" s="11"/>
      <c r="C16" s="48"/>
      <c r="D16" s="73"/>
      <c r="E16" s="73"/>
      <c r="F16" s="73"/>
      <c r="G16" s="73"/>
      <c r="H16" s="48"/>
      <c r="I16" s="48"/>
      <c r="J16" s="78"/>
      <c r="K16" s="78"/>
      <c r="L16" s="48"/>
      <c r="M16" s="78"/>
      <c r="N16" s="7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1"/>
      <c r="AD16" s="41"/>
      <c r="AE16" s="48"/>
      <c r="AF16" s="48"/>
      <c r="AG16" s="48"/>
      <c r="AH16" s="14">
        <f>SUM(C16:AG16)</f>
        <v>0</v>
      </c>
      <c r="AI16" s="17"/>
    </row>
    <row r="17" spans="1:35">
      <c r="A17" s="18" t="s">
        <v>13</v>
      </c>
      <c r="B17" s="11"/>
      <c r="C17" s="48"/>
      <c r="D17" s="73"/>
      <c r="E17" s="73"/>
      <c r="F17" s="73"/>
      <c r="G17" s="73"/>
      <c r="H17" s="48"/>
      <c r="I17" s="48"/>
      <c r="J17" s="78"/>
      <c r="K17" s="78"/>
      <c r="L17" s="48"/>
      <c r="M17" s="78"/>
      <c r="N17" s="7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1"/>
      <c r="AD17" s="41"/>
      <c r="AE17" s="48"/>
      <c r="AF17" s="48"/>
      <c r="AG17" s="48"/>
      <c r="AH17" s="14">
        <f>SUM(C17:AG17)</f>
        <v>0</v>
      </c>
      <c r="AI17" s="17"/>
    </row>
    <row r="18" spans="1:35">
      <c r="A18" s="18" t="s">
        <v>14</v>
      </c>
      <c r="B18" s="11"/>
      <c r="C18" s="48"/>
      <c r="D18" s="73"/>
      <c r="E18" s="73"/>
      <c r="F18" s="73"/>
      <c r="G18" s="73"/>
      <c r="H18" s="48"/>
      <c r="I18" s="48"/>
      <c r="J18" s="78"/>
      <c r="K18" s="78"/>
      <c r="L18" s="48"/>
      <c r="M18" s="78"/>
      <c r="N18" s="7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1"/>
      <c r="AD18" s="41"/>
      <c r="AE18" s="48"/>
      <c r="AF18" s="48"/>
      <c r="AG18" s="48"/>
      <c r="AH18" s="14">
        <f>SUM(C18:AG18)</f>
        <v>0</v>
      </c>
      <c r="AI18" s="17"/>
    </row>
    <row r="19" spans="1:35">
      <c r="A19" s="15" t="s">
        <v>261</v>
      </c>
      <c r="B19" s="11"/>
      <c r="C19" s="48"/>
      <c r="D19" s="73"/>
      <c r="E19" s="73"/>
      <c r="F19" s="73"/>
      <c r="G19" s="73"/>
      <c r="H19" s="87"/>
      <c r="I19" s="41"/>
      <c r="J19" s="78"/>
      <c r="K19" s="78"/>
      <c r="L19" s="50"/>
      <c r="M19" s="78"/>
      <c r="N19" s="65">
        <f>344601972</f>
        <v>344601972</v>
      </c>
      <c r="O19" s="41"/>
      <c r="P19" s="73"/>
      <c r="Q19" s="73"/>
      <c r="R19" s="41"/>
      <c r="S19" s="73"/>
      <c r="T19" s="73"/>
      <c r="U19" s="73">
        <v>80239302</v>
      </c>
      <c r="V19" s="48"/>
      <c r="W19" s="73"/>
      <c r="X19" s="48"/>
      <c r="Y19" s="48"/>
      <c r="Z19" s="48"/>
      <c r="AA19" s="48"/>
      <c r="AB19" s="48"/>
      <c r="AC19" s="41"/>
      <c r="AD19" s="41"/>
      <c r="AE19" s="48"/>
      <c r="AF19" s="48">
        <v>927061200</v>
      </c>
      <c r="AG19" s="48"/>
      <c r="AH19" s="14">
        <f>SUM(C19:AG19)</f>
        <v>1351902474</v>
      </c>
      <c r="AI19" s="17"/>
    </row>
    <row r="20" spans="1:35">
      <c r="A20" s="15" t="s">
        <v>266</v>
      </c>
      <c r="B20" s="11"/>
      <c r="C20" s="86"/>
      <c r="D20" s="86"/>
      <c r="E20" s="86"/>
      <c r="F20" s="86"/>
      <c r="G20" s="86"/>
      <c r="H20" s="50"/>
      <c r="I20" s="50"/>
      <c r="J20" s="86"/>
      <c r="K20" s="86"/>
      <c r="L20" s="50"/>
      <c r="M20" s="86"/>
      <c r="N20" s="86"/>
      <c r="O20" s="50"/>
      <c r="P20" s="48"/>
      <c r="Q20" s="86"/>
      <c r="R20" s="41"/>
      <c r="S20" s="86"/>
      <c r="T20" s="86"/>
      <c r="U20" s="86"/>
      <c r="V20" s="86"/>
      <c r="W20" s="41"/>
      <c r="X20" s="86"/>
      <c r="Y20" s="86"/>
      <c r="Z20" s="94">
        <v>316672904</v>
      </c>
      <c r="AA20" s="41"/>
      <c r="AB20" s="41"/>
      <c r="AC20" s="41"/>
      <c r="AD20" s="41"/>
      <c r="AE20" s="41"/>
      <c r="AF20" s="41"/>
      <c r="AG20" s="48"/>
      <c r="AH20" s="14">
        <f>SUM(H20:AG20)</f>
        <v>316672904</v>
      </c>
      <c r="AI20" s="17"/>
    </row>
    <row r="21" spans="1:35">
      <c r="A21" s="15" t="s">
        <v>267</v>
      </c>
      <c r="B21" s="11"/>
      <c r="C21" s="86"/>
      <c r="D21" s="86"/>
      <c r="E21" s="86"/>
      <c r="F21" s="86"/>
      <c r="G21" s="86"/>
      <c r="H21" s="50"/>
      <c r="I21" s="50"/>
      <c r="J21" s="86"/>
      <c r="K21" s="86"/>
      <c r="L21" s="50"/>
      <c r="M21" s="86"/>
      <c r="N21" s="86"/>
      <c r="O21" s="50"/>
      <c r="P21" s="48"/>
      <c r="Q21" s="86"/>
      <c r="R21" s="41"/>
      <c r="S21" s="86"/>
      <c r="T21" s="86"/>
      <c r="U21" s="86"/>
      <c r="V21" s="86"/>
      <c r="W21" s="41"/>
      <c r="X21" s="86"/>
      <c r="Y21" s="86"/>
      <c r="Z21" s="94">
        <v>339656213</v>
      </c>
      <c r="AA21" s="41"/>
      <c r="AB21" s="41"/>
      <c r="AC21" s="41"/>
      <c r="AD21" s="41"/>
      <c r="AE21" s="41"/>
      <c r="AF21" s="41"/>
      <c r="AG21" s="48"/>
      <c r="AH21" s="14"/>
      <c r="AI21" s="17"/>
    </row>
    <row r="22" spans="1:35">
      <c r="A22" s="15" t="s">
        <v>267</v>
      </c>
      <c r="B22" s="11"/>
      <c r="C22" s="86"/>
      <c r="D22" s="86"/>
      <c r="E22" s="86"/>
      <c r="F22" s="86"/>
      <c r="G22" s="86"/>
      <c r="H22" s="50"/>
      <c r="I22" s="50"/>
      <c r="J22" s="86"/>
      <c r="K22" s="86"/>
      <c r="L22" s="50"/>
      <c r="M22" s="86"/>
      <c r="N22" s="86"/>
      <c r="O22" s="50"/>
      <c r="P22" s="48"/>
      <c r="Q22" s="86"/>
      <c r="R22" s="41"/>
      <c r="S22" s="86"/>
      <c r="T22" s="86"/>
      <c r="U22" s="86"/>
      <c r="V22" s="86"/>
      <c r="W22" s="41"/>
      <c r="X22" s="86"/>
      <c r="Y22" s="86"/>
      <c r="Z22" s="86"/>
      <c r="AA22" s="86"/>
      <c r="AB22" s="86"/>
      <c r="AC22" s="41"/>
      <c r="AD22" s="41"/>
      <c r="AE22" s="86"/>
      <c r="AF22" s="86">
        <v>239660322</v>
      </c>
      <c r="AG22" s="48"/>
      <c r="AH22" s="14"/>
      <c r="AI22" s="17"/>
    </row>
    <row r="23" spans="1:35">
      <c r="A23" s="15" t="s">
        <v>268</v>
      </c>
      <c r="B23" s="11"/>
      <c r="C23" s="86"/>
      <c r="D23" s="86"/>
      <c r="E23" s="86"/>
      <c r="F23" s="86"/>
      <c r="G23" s="86"/>
      <c r="H23" s="50"/>
      <c r="I23" s="50"/>
      <c r="J23" s="86"/>
      <c r="K23" s="86"/>
      <c r="L23" s="50"/>
      <c r="M23" s="86"/>
      <c r="N23" s="86"/>
      <c r="O23" s="50"/>
      <c r="P23" s="48"/>
      <c r="Q23" s="86"/>
      <c r="R23" s="41"/>
      <c r="S23" s="86"/>
      <c r="T23" s="86"/>
      <c r="U23" s="86"/>
      <c r="V23" s="86"/>
      <c r="W23" s="41"/>
      <c r="X23" s="86"/>
      <c r="Y23" s="86"/>
      <c r="Z23" s="86"/>
      <c r="AA23" s="86"/>
      <c r="AB23" s="86"/>
      <c r="AC23" s="41"/>
      <c r="AD23" s="41"/>
      <c r="AE23" s="86"/>
      <c r="AF23" s="86">
        <v>128796678</v>
      </c>
      <c r="AG23" s="48"/>
      <c r="AH23" s="14"/>
      <c r="AI23" s="17"/>
    </row>
    <row r="24" spans="1:35">
      <c r="A24" s="15" t="s">
        <v>269</v>
      </c>
      <c r="B24" s="11"/>
      <c r="C24" s="86"/>
      <c r="D24" s="86"/>
      <c r="E24" s="86"/>
      <c r="F24" s="86"/>
      <c r="G24" s="86"/>
      <c r="H24" s="50"/>
      <c r="I24" s="50"/>
      <c r="J24" s="86"/>
      <c r="K24" s="86"/>
      <c r="L24" s="50"/>
      <c r="M24" s="86"/>
      <c r="N24" s="86"/>
      <c r="O24" s="50"/>
      <c r="P24" s="48"/>
      <c r="Q24" s="86"/>
      <c r="R24" s="41"/>
      <c r="S24" s="86"/>
      <c r="T24" s="86"/>
      <c r="U24" s="86"/>
      <c r="V24" s="86"/>
      <c r="W24" s="41"/>
      <c r="X24" s="86"/>
      <c r="Y24" s="86"/>
      <c r="Z24" s="86"/>
      <c r="AA24" s="86"/>
      <c r="AB24" s="86"/>
      <c r="AC24" s="41"/>
      <c r="AD24" s="41"/>
      <c r="AE24" s="86"/>
      <c r="AF24" s="86">
        <v>199017788</v>
      </c>
      <c r="AG24" s="48"/>
      <c r="AH24" s="14"/>
      <c r="AI24" s="17"/>
    </row>
    <row r="25" spans="1:35">
      <c r="A25" s="15" t="s">
        <v>270</v>
      </c>
      <c r="B25" s="11"/>
      <c r="C25" s="86"/>
      <c r="D25" s="86"/>
      <c r="E25" s="86"/>
      <c r="F25" s="86"/>
      <c r="G25" s="86"/>
      <c r="H25" s="50"/>
      <c r="I25" s="50"/>
      <c r="J25" s="86"/>
      <c r="K25" s="86"/>
      <c r="L25" s="50"/>
      <c r="M25" s="86"/>
      <c r="N25" s="86"/>
      <c r="O25" s="50"/>
      <c r="P25" s="48"/>
      <c r="Q25" s="86"/>
      <c r="R25" s="41"/>
      <c r="S25" s="86"/>
      <c r="T25" s="86"/>
      <c r="U25" s="86"/>
      <c r="V25" s="86"/>
      <c r="W25" s="41"/>
      <c r="X25" s="86"/>
      <c r="Y25" s="86"/>
      <c r="Z25" s="86"/>
      <c r="AA25" s="86"/>
      <c r="AB25" s="86"/>
      <c r="AC25" s="41"/>
      <c r="AD25" s="41"/>
      <c r="AE25" s="86"/>
      <c r="AF25" s="86">
        <v>1223788458</v>
      </c>
      <c r="AG25" s="48"/>
      <c r="AH25" s="14"/>
      <c r="AI25" s="17"/>
    </row>
    <row r="26" spans="1:35">
      <c r="A26" s="15" t="s">
        <v>271</v>
      </c>
      <c r="B26" s="11"/>
      <c r="C26" s="86"/>
      <c r="D26" s="86"/>
      <c r="E26" s="86"/>
      <c r="F26" s="86"/>
      <c r="G26" s="86"/>
      <c r="H26" s="50"/>
      <c r="I26" s="50"/>
      <c r="J26" s="86"/>
      <c r="K26" s="86"/>
      <c r="L26" s="50"/>
      <c r="M26" s="86"/>
      <c r="N26" s="86"/>
      <c r="O26" s="50"/>
      <c r="P26" s="48"/>
      <c r="Q26" s="86"/>
      <c r="R26" s="41"/>
      <c r="S26" s="86"/>
      <c r="T26" s="86"/>
      <c r="U26" s="86"/>
      <c r="V26" s="86"/>
      <c r="W26" s="41"/>
      <c r="X26" s="86"/>
      <c r="Y26" s="86"/>
      <c r="Z26" s="86"/>
      <c r="AA26" s="86"/>
      <c r="AB26" s="86"/>
      <c r="AC26" s="41"/>
      <c r="AD26" s="41"/>
      <c r="AE26" s="86"/>
      <c r="AF26" s="86">
        <v>1711533188</v>
      </c>
      <c r="AG26" s="48"/>
      <c r="AH26" s="14"/>
      <c r="AI26" s="17"/>
    </row>
    <row r="27" spans="1:35">
      <c r="A27" s="15" t="s">
        <v>272</v>
      </c>
      <c r="B27" s="11"/>
      <c r="C27" s="86"/>
      <c r="D27" s="86"/>
      <c r="E27" s="86"/>
      <c r="F27" s="86"/>
      <c r="G27" s="86"/>
      <c r="H27" s="50"/>
      <c r="I27" s="50"/>
      <c r="J27" s="86"/>
      <c r="K27" s="86"/>
      <c r="L27" s="50"/>
      <c r="M27" s="86"/>
      <c r="N27" s="86"/>
      <c r="O27" s="50"/>
      <c r="P27" s="48"/>
      <c r="Q27" s="86"/>
      <c r="R27" s="41"/>
      <c r="S27" s="86"/>
      <c r="T27" s="86"/>
      <c r="U27" s="86"/>
      <c r="V27" s="86"/>
      <c r="W27" s="41"/>
      <c r="X27" s="86"/>
      <c r="Y27" s="86"/>
      <c r="Z27" s="86"/>
      <c r="AA27" s="86"/>
      <c r="AB27" s="86"/>
      <c r="AC27" s="41"/>
      <c r="AD27" s="41"/>
      <c r="AE27" s="86"/>
      <c r="AF27" s="86">
        <v>174486155</v>
      </c>
      <c r="AG27" s="48"/>
      <c r="AH27" s="14"/>
      <c r="AI27" s="17"/>
    </row>
    <row r="28" spans="1:35">
      <c r="A28" s="15" t="s">
        <v>273</v>
      </c>
      <c r="B28" s="11"/>
      <c r="C28" s="86"/>
      <c r="D28" s="86"/>
      <c r="E28" s="86"/>
      <c r="F28" s="86"/>
      <c r="G28" s="86"/>
      <c r="H28" s="50"/>
      <c r="I28" s="50"/>
      <c r="J28" s="86"/>
      <c r="K28" s="86"/>
      <c r="L28" s="50"/>
      <c r="M28" s="86"/>
      <c r="N28" s="86"/>
      <c r="O28" s="50"/>
      <c r="P28" s="48"/>
      <c r="Q28" s="86"/>
      <c r="R28" s="41"/>
      <c r="S28" s="86"/>
      <c r="T28" s="86"/>
      <c r="U28" s="86"/>
      <c r="V28" s="86"/>
      <c r="W28" s="41"/>
      <c r="X28" s="86"/>
      <c r="Y28" s="86"/>
      <c r="Z28" s="86"/>
      <c r="AA28" s="86"/>
      <c r="AB28" s="86"/>
      <c r="AC28" s="41"/>
      <c r="AD28" s="41"/>
      <c r="AE28" s="86"/>
      <c r="AF28" s="86">
        <v>64278148</v>
      </c>
      <c r="AG28" s="48"/>
      <c r="AH28" s="14"/>
      <c r="AI28" s="17"/>
    </row>
    <row r="29" spans="1:35">
      <c r="A29" s="15" t="s">
        <v>274</v>
      </c>
      <c r="B29" s="11"/>
      <c r="C29" s="86"/>
      <c r="D29" s="86"/>
      <c r="E29" s="86"/>
      <c r="F29" s="86"/>
      <c r="G29" s="86"/>
      <c r="H29" s="50"/>
      <c r="I29" s="50"/>
      <c r="J29" s="86"/>
      <c r="K29" s="86"/>
      <c r="L29" s="50"/>
      <c r="M29" s="86"/>
      <c r="N29" s="86"/>
      <c r="O29" s="50"/>
      <c r="P29" s="48"/>
      <c r="Q29" s="86"/>
      <c r="R29" s="41"/>
      <c r="S29" s="86"/>
      <c r="T29" s="86"/>
      <c r="U29" s="86"/>
      <c r="V29" s="86"/>
      <c r="W29" s="41"/>
      <c r="X29" s="86"/>
      <c r="Y29" s="86"/>
      <c r="Z29" s="86"/>
      <c r="AA29" s="86"/>
      <c r="AB29" s="86"/>
      <c r="AC29" s="41"/>
      <c r="AD29" s="41"/>
      <c r="AE29" s="86"/>
      <c r="AF29" s="86">
        <v>235686542</v>
      </c>
      <c r="AG29" s="48"/>
      <c r="AH29" s="14"/>
      <c r="AI29" s="17"/>
    </row>
    <row r="30" spans="1:35">
      <c r="A30" s="15" t="s">
        <v>275</v>
      </c>
      <c r="B30" s="11"/>
      <c r="C30" s="86"/>
      <c r="D30" s="86"/>
      <c r="E30" s="86"/>
      <c r="F30" s="86"/>
      <c r="G30" s="86"/>
      <c r="H30" s="50"/>
      <c r="I30" s="50"/>
      <c r="J30" s="86"/>
      <c r="K30" s="86"/>
      <c r="L30" s="50"/>
      <c r="M30" s="86"/>
      <c r="N30" s="86"/>
      <c r="O30" s="50"/>
      <c r="P30" s="48"/>
      <c r="Q30" s="86"/>
      <c r="R30" s="41"/>
      <c r="S30" s="86"/>
      <c r="T30" s="86"/>
      <c r="U30" s="86"/>
      <c r="V30" s="86"/>
      <c r="W30" s="41"/>
      <c r="X30" s="86"/>
      <c r="Y30" s="86"/>
      <c r="Z30" s="86"/>
      <c r="AA30" s="86"/>
      <c r="AB30" s="86"/>
      <c r="AC30" s="41"/>
      <c r="AD30" s="41"/>
      <c r="AE30" s="86"/>
      <c r="AF30" s="86">
        <v>73460740</v>
      </c>
      <c r="AG30" s="48"/>
      <c r="AH30" s="14"/>
      <c r="AI30" s="17"/>
    </row>
    <row r="31" spans="1:35">
      <c r="A31" s="15" t="s">
        <v>17</v>
      </c>
      <c r="B31" s="11"/>
      <c r="C31" s="48"/>
      <c r="D31" s="48"/>
      <c r="E31" s="48"/>
      <c r="F31" s="48"/>
      <c r="G31" s="50"/>
      <c r="H31" s="48"/>
      <c r="I31" s="48"/>
      <c r="J31" s="78"/>
      <c r="K31" s="73"/>
      <c r="L31" s="50"/>
      <c r="M31" s="73"/>
      <c r="N31" s="50"/>
      <c r="O31" s="48"/>
      <c r="P31" s="48"/>
      <c r="Q31" s="50"/>
      <c r="R31" s="48"/>
      <c r="S31" s="48"/>
      <c r="T31" s="73"/>
      <c r="U31" s="73"/>
      <c r="V31" s="48"/>
      <c r="W31" s="41"/>
      <c r="X31" s="48"/>
      <c r="Y31" s="48"/>
      <c r="Z31" s="48"/>
      <c r="AA31" s="48"/>
      <c r="AB31" s="48"/>
      <c r="AC31" s="41"/>
      <c r="AD31" s="48"/>
      <c r="AE31" s="48"/>
      <c r="AF31" s="48"/>
      <c r="AG31" s="48"/>
      <c r="AH31" s="14">
        <f t="shared" ref="AH31:AH38" si="0">SUM(C31:AG31)</f>
        <v>0</v>
      </c>
      <c r="AI31" s="17"/>
    </row>
    <row r="32" spans="1:35">
      <c r="A32" s="15" t="s">
        <v>18</v>
      </c>
      <c r="B32" s="11"/>
      <c r="C32" s="48"/>
      <c r="D32" s="48"/>
      <c r="E32" s="48"/>
      <c r="F32" s="48"/>
      <c r="G32" s="48"/>
      <c r="H32" s="48"/>
      <c r="I32" s="48"/>
      <c r="J32" s="78"/>
      <c r="K32" s="73"/>
      <c r="L32" s="50"/>
      <c r="M32" s="73"/>
      <c r="N32" s="48"/>
      <c r="O32" s="48"/>
      <c r="P32" s="48"/>
      <c r="Q32" s="48"/>
      <c r="R32" s="48"/>
      <c r="S32" s="48"/>
      <c r="T32" s="73"/>
      <c r="U32" s="48"/>
      <c r="V32" s="48"/>
      <c r="W32" s="41"/>
      <c r="X32" s="48"/>
      <c r="Y32" s="48"/>
      <c r="Z32" s="48"/>
      <c r="AA32" s="48"/>
      <c r="AB32" s="48"/>
      <c r="AC32" s="41"/>
      <c r="AD32" s="48"/>
      <c r="AE32" s="48"/>
      <c r="AF32" s="48"/>
      <c r="AG32" s="48"/>
      <c r="AH32" s="14">
        <f t="shared" si="0"/>
        <v>0</v>
      </c>
      <c r="AI32" s="17"/>
    </row>
    <row r="33" spans="1:37" ht="15">
      <c r="A33" s="15" t="s">
        <v>19</v>
      </c>
      <c r="B33" s="11"/>
      <c r="C33" s="48"/>
      <c r="D33" s="48"/>
      <c r="E33" s="48"/>
      <c r="F33" s="48"/>
      <c r="G33" s="50"/>
      <c r="H33" s="48"/>
      <c r="I33" s="51"/>
      <c r="J33" s="78"/>
      <c r="K33" s="102"/>
      <c r="L33" s="50"/>
      <c r="M33" s="102"/>
      <c r="N33" s="50"/>
      <c r="O33" s="50"/>
      <c r="P33" s="48"/>
      <c r="Q33" s="50"/>
      <c r="R33" s="87"/>
      <c r="S33" s="73"/>
      <c r="T33" s="73"/>
      <c r="U33" s="48"/>
      <c r="V33" s="48"/>
      <c r="W33" s="41"/>
      <c r="X33" s="48"/>
      <c r="Y33" s="48"/>
      <c r="Z33" s="48"/>
      <c r="AA33" s="48"/>
      <c r="AB33" s="48"/>
      <c r="AC33" s="41"/>
      <c r="AD33" s="48"/>
      <c r="AE33" s="48"/>
      <c r="AF33" s="48">
        <v>290000000</v>
      </c>
      <c r="AG33" s="48"/>
      <c r="AH33" s="14">
        <f t="shared" si="0"/>
        <v>290000000</v>
      </c>
      <c r="AI33" s="17"/>
    </row>
    <row r="34" spans="1:37">
      <c r="A34" s="15" t="s">
        <v>20</v>
      </c>
      <c r="B34" s="11"/>
      <c r="C34" s="48"/>
      <c r="D34" s="48"/>
      <c r="E34" s="48"/>
      <c r="F34" s="48"/>
      <c r="G34" s="73"/>
      <c r="H34" s="48"/>
      <c r="I34" s="48"/>
      <c r="J34" s="78"/>
      <c r="K34" s="78"/>
      <c r="L34" s="41"/>
      <c r="M34" s="78"/>
      <c r="N34" s="48"/>
      <c r="O34" s="48"/>
      <c r="P34" s="41"/>
      <c r="Q34" s="48"/>
      <c r="R34" s="41"/>
      <c r="S34" s="41"/>
      <c r="T34" s="41"/>
      <c r="U34" s="73"/>
      <c r="V34" s="48"/>
      <c r="W34" s="41"/>
      <c r="X34" s="48"/>
      <c r="Y34" s="41"/>
      <c r="Z34" s="73"/>
      <c r="AA34" s="48"/>
      <c r="AB34" s="48"/>
      <c r="AC34" s="41"/>
      <c r="AD34" s="48"/>
      <c r="AE34" s="48"/>
      <c r="AF34" s="48"/>
      <c r="AG34" s="48"/>
      <c r="AH34" s="14">
        <f t="shared" si="0"/>
        <v>0</v>
      </c>
      <c r="AI34" s="17"/>
    </row>
    <row r="35" spans="1:37">
      <c r="A35" s="15" t="s">
        <v>204</v>
      </c>
      <c r="B35" s="11"/>
      <c r="C35" s="48"/>
      <c r="D35" s="48"/>
      <c r="E35" s="48"/>
      <c r="F35" s="73">
        <v>81118884</v>
      </c>
      <c r="G35" s="73"/>
      <c r="H35" s="48"/>
      <c r="I35" s="48"/>
      <c r="J35" s="78"/>
      <c r="K35" s="78"/>
      <c r="L35" s="73"/>
      <c r="M35" s="78"/>
      <c r="N35" s="73"/>
      <c r="O35" s="48"/>
      <c r="P35" s="48"/>
      <c r="Q35" s="73">
        <v>82230262</v>
      </c>
      <c r="R35" s="48"/>
      <c r="S35" s="73"/>
      <c r="T35" s="73"/>
      <c r="U35" s="73">
        <v>126880512</v>
      </c>
      <c r="V35" s="48"/>
      <c r="W35" s="41"/>
      <c r="X35" s="48"/>
      <c r="Y35" s="65"/>
      <c r="Z35" s="41"/>
      <c r="AA35" s="73"/>
      <c r="AB35" s="73"/>
      <c r="AC35" s="41"/>
      <c r="AD35" s="73"/>
      <c r="AE35" s="73"/>
      <c r="AF35" s="73"/>
      <c r="AG35" s="73"/>
      <c r="AH35" s="14">
        <f t="shared" si="0"/>
        <v>290229658</v>
      </c>
      <c r="AI35" s="17">
        <f>390501249-392501249</f>
        <v>-2000000</v>
      </c>
    </row>
    <row r="36" spans="1:37">
      <c r="A36" s="15" t="s">
        <v>163</v>
      </c>
      <c r="B36" s="11"/>
      <c r="C36" s="87"/>
      <c r="D36" s="87"/>
      <c r="E36" s="87"/>
      <c r="F36" s="87"/>
      <c r="G36" s="73"/>
      <c r="H36" s="48"/>
      <c r="I36" s="48"/>
      <c r="J36" s="78"/>
      <c r="K36" s="78"/>
      <c r="L36" s="73"/>
      <c r="M36" s="78"/>
      <c r="N36" s="87"/>
      <c r="O36" s="48"/>
      <c r="P36" s="73"/>
      <c r="Q36" s="87"/>
      <c r="R36" s="73"/>
      <c r="S36" s="73">
        <f>144394929-141237993</f>
        <v>3156936</v>
      </c>
      <c r="T36" s="73"/>
      <c r="U36" s="48"/>
      <c r="V36" s="48"/>
      <c r="W36" s="41"/>
      <c r="X36" s="48"/>
      <c r="Y36" s="73"/>
      <c r="Z36" s="48"/>
      <c r="AA36" s="48"/>
      <c r="AB36" s="48"/>
      <c r="AC36" s="41"/>
      <c r="AD36" s="73"/>
      <c r="AE36" s="48"/>
      <c r="AF36" s="48"/>
      <c r="AG36" s="48"/>
      <c r="AH36" s="14">
        <f t="shared" si="0"/>
        <v>3156936</v>
      </c>
    </row>
    <row r="37" spans="1:37">
      <c r="A37" s="15" t="s">
        <v>21</v>
      </c>
      <c r="B37" s="11"/>
      <c r="C37" s="48"/>
      <c r="D37" s="48"/>
      <c r="E37" s="48"/>
      <c r="F37" s="73">
        <f>10812680+59010290+61516677+69596439</f>
        <v>200936086</v>
      </c>
      <c r="G37" s="48"/>
      <c r="H37" s="73"/>
      <c r="I37" s="73"/>
      <c r="J37" s="65">
        <f>38499247-20491234</f>
        <v>18008013</v>
      </c>
      <c r="K37" s="78"/>
      <c r="L37" s="41"/>
      <c r="M37" s="78"/>
      <c r="N37" s="48"/>
      <c r="O37" s="48"/>
      <c r="P37" s="41"/>
      <c r="Q37" s="48"/>
      <c r="R37" s="73"/>
      <c r="S37" s="48"/>
      <c r="T37" s="73"/>
      <c r="U37" s="73"/>
      <c r="V37" s="48"/>
      <c r="W37" s="41"/>
      <c r="X37" s="73">
        <v>83739935</v>
      </c>
      <c r="Y37" s="48"/>
      <c r="Z37" s="73"/>
      <c r="AA37" s="73"/>
      <c r="AB37" s="73"/>
      <c r="AC37" s="41"/>
      <c r="AD37" s="48"/>
      <c r="AE37" s="73"/>
      <c r="AF37" s="73"/>
      <c r="AG37" s="48"/>
      <c r="AH37" s="14">
        <f t="shared" si="0"/>
        <v>302684034</v>
      </c>
      <c r="AI37" s="17"/>
    </row>
    <row r="38" spans="1:37">
      <c r="A38" s="15" t="s">
        <v>259</v>
      </c>
      <c r="B38" s="11"/>
      <c r="C38" s="48"/>
      <c r="D38" s="48"/>
      <c r="E38" s="146"/>
      <c r="F38" s="146"/>
      <c r="G38" s="146"/>
      <c r="H38" s="48"/>
      <c r="I38" s="48"/>
      <c r="K38" s="146"/>
      <c r="L38" s="73"/>
      <c r="M38" s="73">
        <v>10121600</v>
      </c>
      <c r="N38" s="48"/>
      <c r="O38" s="73"/>
      <c r="P38" s="48"/>
      <c r="Q38" s="48"/>
      <c r="R38" s="48"/>
      <c r="S38" s="48"/>
      <c r="T38" s="73"/>
      <c r="U38" s="48"/>
      <c r="V38" s="48"/>
      <c r="W38" s="41"/>
      <c r="X38" s="48"/>
      <c r="Y38" s="48"/>
      <c r="Z38" s="48"/>
      <c r="AA38" s="48"/>
      <c r="AB38" s="48"/>
      <c r="AC38" s="41"/>
      <c r="AD38" s="48"/>
      <c r="AE38" s="48"/>
      <c r="AF38" s="48"/>
      <c r="AG38" s="48"/>
      <c r="AH38" s="14">
        <f t="shared" si="0"/>
        <v>10121600</v>
      </c>
      <c r="AI38" s="17"/>
    </row>
    <row r="39" spans="1:37">
      <c r="A39" s="15" t="s">
        <v>260</v>
      </c>
      <c r="B39" s="11"/>
      <c r="C39" s="48"/>
      <c r="D39" s="48"/>
      <c r="E39" s="146"/>
      <c r="F39" s="146"/>
      <c r="G39" s="98">
        <f>39042783-5324015</f>
        <v>33718768</v>
      </c>
      <c r="H39" s="48"/>
      <c r="I39" s="48"/>
      <c r="J39" s="78"/>
      <c r="K39" s="78"/>
      <c r="L39" s="73"/>
      <c r="M39" s="90"/>
      <c r="N39" s="90"/>
      <c r="O39" s="73"/>
      <c r="P39" s="48"/>
      <c r="Q39" s="65">
        <v>17807966</v>
      </c>
      <c r="R39" s="48"/>
      <c r="S39" s="48"/>
      <c r="T39" s="73"/>
      <c r="U39" s="48"/>
      <c r="V39" s="48"/>
      <c r="W39" s="41"/>
      <c r="X39" s="48"/>
      <c r="Y39" s="48"/>
      <c r="Z39" s="48"/>
      <c r="AA39" s="48"/>
      <c r="AB39" s="48"/>
      <c r="AC39" s="41"/>
      <c r="AD39" s="48"/>
      <c r="AE39" s="48"/>
      <c r="AF39" s="48"/>
      <c r="AG39" s="48"/>
      <c r="AH39" s="14"/>
      <c r="AI39" s="17"/>
    </row>
    <row r="40" spans="1:37">
      <c r="A40" s="15" t="s">
        <v>194</v>
      </c>
      <c r="B40" s="11"/>
      <c r="C40" s="86"/>
      <c r="D40" s="86"/>
      <c r="E40" s="86"/>
      <c r="F40" s="86"/>
      <c r="G40" s="86"/>
      <c r="H40" s="41"/>
      <c r="I40" s="41"/>
      <c r="J40" s="86"/>
      <c r="K40" s="86"/>
      <c r="L40" s="73"/>
      <c r="M40" s="86"/>
      <c r="N40" s="86"/>
      <c r="O40" s="41"/>
      <c r="P40" s="41"/>
      <c r="Q40" s="86"/>
      <c r="R40" s="41"/>
      <c r="S40" s="86"/>
      <c r="T40" s="86"/>
      <c r="U40" s="86"/>
      <c r="V40" s="86"/>
      <c r="W40" s="41"/>
      <c r="X40" s="86"/>
      <c r="Y40" s="86"/>
      <c r="Z40" s="86"/>
      <c r="AA40" s="86"/>
      <c r="AB40" s="86"/>
      <c r="AC40" s="41"/>
      <c r="AD40" s="41"/>
      <c r="AE40" s="86"/>
      <c r="AF40" s="86">
        <v>296293200</v>
      </c>
      <c r="AG40" s="48"/>
      <c r="AH40" s="14">
        <f>SUM(F40:AG40)</f>
        <v>296293200</v>
      </c>
      <c r="AI40" s="17"/>
    </row>
    <row r="41" spans="1:37">
      <c r="A41" s="15" t="s">
        <v>192</v>
      </c>
      <c r="B41" s="11"/>
      <c r="C41" s="86"/>
      <c r="D41" s="86"/>
      <c r="E41" s="86"/>
      <c r="F41" s="86"/>
      <c r="G41" s="86"/>
      <c r="H41" s="41"/>
      <c r="I41" s="41"/>
      <c r="J41" s="86"/>
      <c r="K41" s="86"/>
      <c r="L41" s="73"/>
      <c r="M41" s="86"/>
      <c r="N41" s="86"/>
      <c r="O41" s="41"/>
      <c r="P41" s="41"/>
      <c r="Q41" s="86"/>
      <c r="R41" s="41"/>
      <c r="S41" s="86"/>
      <c r="T41" s="86"/>
      <c r="U41" s="86"/>
      <c r="V41" s="86"/>
      <c r="W41" s="41"/>
      <c r="X41" s="86"/>
      <c r="Y41" s="86"/>
      <c r="Z41" s="86"/>
      <c r="AA41" s="86"/>
      <c r="AB41" s="86"/>
      <c r="AC41" s="41"/>
      <c r="AD41" s="41"/>
      <c r="AE41" s="86"/>
      <c r="AF41" s="86">
        <v>296293200</v>
      </c>
      <c r="AG41" s="48"/>
      <c r="AH41" s="14"/>
      <c r="AI41" s="17"/>
    </row>
    <row r="42" spans="1:37">
      <c r="A42" s="15" t="s">
        <v>256</v>
      </c>
      <c r="B42" s="11"/>
      <c r="C42" s="41"/>
      <c r="D42" s="41"/>
      <c r="E42" s="50"/>
      <c r="F42" s="50"/>
      <c r="G42" s="50"/>
      <c r="H42" s="41"/>
      <c r="I42" s="41"/>
      <c r="J42" s="78"/>
      <c r="K42" s="78"/>
      <c r="L42" s="73"/>
      <c r="M42" s="78"/>
      <c r="N42" s="78"/>
      <c r="O42" s="41"/>
      <c r="P42" s="41"/>
      <c r="Q42" s="78"/>
      <c r="R42" s="41"/>
      <c r="S42" s="78"/>
      <c r="T42" s="78"/>
      <c r="U42" s="78"/>
      <c r="V42" s="78"/>
      <c r="W42" s="41"/>
      <c r="X42" s="78"/>
      <c r="Y42" s="78"/>
      <c r="Z42" s="78"/>
      <c r="AA42" s="78"/>
      <c r="AB42" s="78"/>
      <c r="AC42" s="41"/>
      <c r="AD42" s="41"/>
      <c r="AE42" s="78"/>
      <c r="AF42" s="78"/>
      <c r="AG42" s="48"/>
      <c r="AH42" s="14"/>
      <c r="AI42" s="17"/>
    </row>
    <row r="43" spans="1:37">
      <c r="A43" s="15" t="s">
        <v>142</v>
      </c>
      <c r="B43" s="11"/>
      <c r="C43" s="86"/>
      <c r="D43" s="86"/>
      <c r="E43" s="86"/>
      <c r="F43" s="86"/>
      <c r="G43" s="86"/>
      <c r="H43" s="41"/>
      <c r="I43" s="41"/>
      <c r="J43" s="86"/>
      <c r="K43" s="86"/>
      <c r="L43" s="41"/>
      <c r="M43" s="86"/>
      <c r="N43" s="86"/>
      <c r="O43" s="41"/>
      <c r="P43" s="41"/>
      <c r="Q43" s="86"/>
      <c r="R43" s="41"/>
      <c r="S43" s="86"/>
      <c r="T43" s="86"/>
      <c r="U43" s="86"/>
      <c r="V43" s="86"/>
      <c r="W43" s="41"/>
      <c r="X43" s="86"/>
      <c r="Y43" s="86"/>
      <c r="Z43" s="86"/>
      <c r="AA43" s="86"/>
      <c r="AB43" s="86"/>
      <c r="AC43" s="41"/>
      <c r="AD43" s="41"/>
      <c r="AE43" s="86"/>
      <c r="AF43" s="86">
        <v>45738000</v>
      </c>
      <c r="AG43" s="41"/>
      <c r="AH43" s="14"/>
      <c r="AI43" s="17"/>
      <c r="AJ43" s="82"/>
      <c r="AK43" s="44"/>
    </row>
    <row r="44" spans="1:37">
      <c r="A44" s="15" t="s">
        <v>143</v>
      </c>
      <c r="B44" s="11"/>
      <c r="C44" s="86"/>
      <c r="D44" s="86"/>
      <c r="E44" s="86"/>
      <c r="F44" s="86"/>
      <c r="G44" s="86"/>
      <c r="H44" s="41"/>
      <c r="I44" s="41"/>
      <c r="J44" s="86"/>
      <c r="K44" s="86"/>
      <c r="L44" s="41"/>
      <c r="M44" s="86"/>
      <c r="N44" s="86"/>
      <c r="O44" s="41"/>
      <c r="P44" s="41"/>
      <c r="Q44" s="86"/>
      <c r="R44" s="41"/>
      <c r="S44" s="86"/>
      <c r="T44" s="86"/>
      <c r="U44" s="86"/>
      <c r="V44" s="86"/>
      <c r="W44" s="41"/>
      <c r="X44" s="86"/>
      <c r="Y44" s="86"/>
      <c r="Z44" s="86"/>
      <c r="AA44" s="86"/>
      <c r="AB44" s="86"/>
      <c r="AC44" s="41"/>
      <c r="AD44" s="41"/>
      <c r="AE44" s="86"/>
      <c r="AF44" s="86">
        <v>17151750</v>
      </c>
      <c r="AG44" s="41"/>
      <c r="AH44" s="14"/>
      <c r="AI44" s="17"/>
      <c r="AJ44" s="82"/>
      <c r="AK44" s="44"/>
    </row>
    <row r="45" spans="1:37">
      <c r="A45" s="15" t="s">
        <v>144</v>
      </c>
      <c r="B45" s="11"/>
      <c r="C45" s="86"/>
      <c r="D45" s="86"/>
      <c r="E45" s="86"/>
      <c r="F45" s="86"/>
      <c r="G45" s="86"/>
      <c r="H45" s="41"/>
      <c r="I45" s="41"/>
      <c r="J45" s="86"/>
      <c r="K45" s="86"/>
      <c r="L45" s="41"/>
      <c r="M45" s="86"/>
      <c r="N45" s="86"/>
      <c r="O45" s="41"/>
      <c r="P45" s="41"/>
      <c r="Q45" s="86"/>
      <c r="R45" s="41"/>
      <c r="S45" s="86"/>
      <c r="T45" s="86"/>
      <c r="U45" s="86"/>
      <c r="V45" s="86"/>
      <c r="W45" s="41"/>
      <c r="X45" s="86"/>
      <c r="Y45" s="86"/>
      <c r="Z45" s="86"/>
      <c r="AA45" s="86"/>
      <c r="AB45" s="86"/>
      <c r="AC45" s="41"/>
      <c r="AD45" s="41"/>
      <c r="AE45" s="86"/>
      <c r="AF45" s="86">
        <v>102910500</v>
      </c>
      <c r="AG45" s="41"/>
      <c r="AH45" s="14"/>
      <c r="AI45" s="17"/>
      <c r="AJ45" s="82"/>
      <c r="AK45" s="44"/>
    </row>
    <row r="46" spans="1:37">
      <c r="A46" s="15" t="s">
        <v>173</v>
      </c>
      <c r="B46" s="11"/>
      <c r="C46" s="86"/>
      <c r="D46" s="86"/>
      <c r="E46" s="86"/>
      <c r="F46" s="86"/>
      <c r="G46" s="86"/>
      <c r="H46" s="41"/>
      <c r="I46" s="41"/>
      <c r="J46" s="86"/>
      <c r="K46" s="86"/>
      <c r="L46" s="41"/>
      <c r="M46" s="86"/>
      <c r="N46" s="86"/>
      <c r="O46" s="41"/>
      <c r="P46" s="41"/>
      <c r="Q46" s="86"/>
      <c r="R46" s="41"/>
      <c r="S46" s="86"/>
      <c r="T46" s="86"/>
      <c r="U46" s="86"/>
      <c r="V46" s="86"/>
      <c r="W46" s="41"/>
      <c r="X46" s="86"/>
      <c r="Y46" s="86"/>
      <c r="Z46" s="86"/>
      <c r="AA46" s="86"/>
      <c r="AB46" s="86"/>
      <c r="AC46" s="41"/>
      <c r="AD46" s="41"/>
      <c r="AE46" s="86"/>
      <c r="AF46" s="86">
        <v>26145900</v>
      </c>
      <c r="AG46" s="41"/>
      <c r="AH46" s="14"/>
      <c r="AI46" s="17"/>
      <c r="AJ46" s="82"/>
      <c r="AK46" s="44"/>
    </row>
    <row r="47" spans="1:37">
      <c r="A47" s="15" t="s">
        <v>174</v>
      </c>
      <c r="B47" s="11"/>
      <c r="C47" s="86"/>
      <c r="D47" s="86"/>
      <c r="E47" s="86"/>
      <c r="F47" s="86"/>
      <c r="G47" s="86"/>
      <c r="H47" s="41"/>
      <c r="I47" s="41"/>
      <c r="J47" s="86"/>
      <c r="K47" s="86"/>
      <c r="L47" s="41"/>
      <c r="M47" s="86"/>
      <c r="N47" s="86"/>
      <c r="O47" s="41"/>
      <c r="P47" s="41"/>
      <c r="Q47" s="86"/>
      <c r="R47" s="41"/>
      <c r="S47" s="86"/>
      <c r="T47" s="86"/>
      <c r="U47" s="86"/>
      <c r="V47" s="86"/>
      <c r="W47" s="41"/>
      <c r="X47" s="86"/>
      <c r="Y47" s="86"/>
      <c r="Z47" s="86"/>
      <c r="AA47" s="86"/>
      <c r="AB47" s="86"/>
      <c r="AC47" s="41"/>
      <c r="AD47" s="41"/>
      <c r="AE47" s="86"/>
      <c r="AF47" s="86">
        <v>14445090</v>
      </c>
      <c r="AG47" s="41"/>
      <c r="AH47" s="14"/>
      <c r="AI47" s="17"/>
      <c r="AJ47" s="82"/>
      <c r="AK47" s="136">
        <f>6325269+60889034</f>
        <v>67214303</v>
      </c>
    </row>
    <row r="48" spans="1:37">
      <c r="A48" s="15" t="s">
        <v>246</v>
      </c>
      <c r="B48" s="11"/>
      <c r="C48" s="86"/>
      <c r="D48" s="86"/>
      <c r="E48" s="86"/>
      <c r="F48" s="86"/>
      <c r="G48" s="86"/>
      <c r="H48" s="41"/>
      <c r="I48" s="41"/>
      <c r="J48" s="86"/>
      <c r="K48" s="86"/>
      <c r="L48" s="41"/>
      <c r="M48" s="86"/>
      <c r="N48" s="86"/>
      <c r="O48" s="41"/>
      <c r="P48" s="41"/>
      <c r="Q48" s="86"/>
      <c r="R48" s="41"/>
      <c r="S48" s="86"/>
      <c r="T48" s="86"/>
      <c r="U48" s="86"/>
      <c r="V48" s="86"/>
      <c r="W48" s="41"/>
      <c r="X48" s="86"/>
      <c r="Y48" s="86"/>
      <c r="Z48" s="86"/>
      <c r="AA48" s="86"/>
      <c r="AB48" s="86"/>
      <c r="AC48" s="41"/>
      <c r="AD48" s="41"/>
      <c r="AE48" s="86"/>
      <c r="AF48" s="86">
        <v>59647500</v>
      </c>
      <c r="AG48" s="41"/>
      <c r="AH48" s="14"/>
      <c r="AI48" s="17"/>
      <c r="AJ48" s="82"/>
      <c r="AK48" s="136"/>
    </row>
    <row r="49" spans="1:37">
      <c r="A49" s="15" t="s">
        <v>247</v>
      </c>
      <c r="B49" s="11"/>
      <c r="C49" s="86"/>
      <c r="D49" s="86"/>
      <c r="E49" s="86"/>
      <c r="F49" s="86"/>
      <c r="G49" s="86"/>
      <c r="H49" s="41"/>
      <c r="I49" s="41"/>
      <c r="J49" s="86"/>
      <c r="K49" s="86"/>
      <c r="L49" s="41"/>
      <c r="M49" s="86"/>
      <c r="N49" s="86"/>
      <c r="O49" s="41"/>
      <c r="P49" s="41"/>
      <c r="Q49" s="86"/>
      <c r="R49" s="41"/>
      <c r="S49" s="86"/>
      <c r="T49" s="86"/>
      <c r="U49" s="86"/>
      <c r="V49" s="86"/>
      <c r="W49" s="41"/>
      <c r="X49" s="86"/>
      <c r="Y49" s="86"/>
      <c r="Z49" s="86"/>
      <c r="AA49" s="86"/>
      <c r="AB49" s="86"/>
      <c r="AC49" s="41"/>
      <c r="AD49" s="41"/>
      <c r="AE49" s="86"/>
      <c r="AF49" s="86">
        <v>47718000</v>
      </c>
      <c r="AG49" s="41"/>
      <c r="AH49" s="14"/>
      <c r="AI49" s="17"/>
      <c r="AJ49" s="82"/>
      <c r="AK49" s="136"/>
    </row>
    <row r="50" spans="1:37">
      <c r="A50" s="15" t="s">
        <v>248</v>
      </c>
      <c r="B50" s="11"/>
      <c r="C50" s="86"/>
      <c r="D50" s="86"/>
      <c r="E50" s="86"/>
      <c r="F50" s="86"/>
      <c r="G50" s="86"/>
      <c r="H50" s="41"/>
      <c r="I50" s="41"/>
      <c r="J50" s="86"/>
      <c r="K50" s="86"/>
      <c r="L50" s="41"/>
      <c r="M50" s="86"/>
      <c r="N50" s="86"/>
      <c r="O50" s="41"/>
      <c r="P50" s="41"/>
      <c r="Q50" s="86"/>
      <c r="R50" s="41"/>
      <c r="S50" s="86"/>
      <c r="T50" s="86"/>
      <c r="U50" s="86"/>
      <c r="V50" s="86"/>
      <c r="W50" s="41"/>
      <c r="X50" s="86"/>
      <c r="Y50" s="86"/>
      <c r="Z50" s="86"/>
      <c r="AA50" s="86"/>
      <c r="AB50" s="86"/>
      <c r="AC50" s="41"/>
      <c r="AD50" s="41"/>
      <c r="AE50" s="86"/>
      <c r="AF50" s="86">
        <v>53682750</v>
      </c>
      <c r="AG50" s="41"/>
      <c r="AH50" s="14"/>
      <c r="AI50" s="17"/>
      <c r="AJ50" s="82"/>
      <c r="AK50" s="136"/>
    </row>
    <row r="51" spans="1:37">
      <c r="A51" s="15" t="s">
        <v>249</v>
      </c>
      <c r="B51" s="11"/>
      <c r="C51" s="86"/>
      <c r="D51" s="86"/>
      <c r="E51" s="86"/>
      <c r="F51" s="86"/>
      <c r="G51" s="86"/>
      <c r="H51" s="41"/>
      <c r="I51" s="41"/>
      <c r="J51" s="86"/>
      <c r="K51" s="86"/>
      <c r="L51" s="41"/>
      <c r="M51" s="86"/>
      <c r="N51" s="86"/>
      <c r="O51" s="41"/>
      <c r="P51" s="41"/>
      <c r="Q51" s="86"/>
      <c r="R51" s="41"/>
      <c r="S51" s="86"/>
      <c r="T51" s="86"/>
      <c r="U51" s="86"/>
      <c r="V51" s="86"/>
      <c r="W51" s="41"/>
      <c r="X51" s="86"/>
      <c r="Y51" s="86"/>
      <c r="Z51" s="86"/>
      <c r="AA51" s="86"/>
      <c r="AB51" s="86"/>
      <c r="AC51" s="41"/>
      <c r="AD51" s="41"/>
      <c r="AE51" s="86"/>
      <c r="AF51" s="86">
        <v>89471250</v>
      </c>
      <c r="AG51" s="41"/>
      <c r="AH51" s="14"/>
      <c r="AI51" s="17"/>
      <c r="AJ51" s="82"/>
      <c r="AK51" s="136"/>
    </row>
    <row r="52" spans="1:37">
      <c r="A52" s="15" t="s">
        <v>250</v>
      </c>
      <c r="B52" s="11"/>
      <c r="C52" s="86"/>
      <c r="D52" s="86"/>
      <c r="E52" s="86"/>
      <c r="F52" s="86"/>
      <c r="G52" s="86"/>
      <c r="H52" s="41"/>
      <c r="I52" s="41"/>
      <c r="J52" s="86"/>
      <c r="K52" s="86"/>
      <c r="L52" s="41"/>
      <c r="M52" s="86"/>
      <c r="N52" s="86"/>
      <c r="O52" s="41"/>
      <c r="P52" s="41"/>
      <c r="Q52" s="86"/>
      <c r="R52" s="41"/>
      <c r="S52" s="86"/>
      <c r="T52" s="86"/>
      <c r="U52" s="86"/>
      <c r="V52" s="86"/>
      <c r="W52" s="41"/>
      <c r="X52" s="86"/>
      <c r="Y52" s="86"/>
      <c r="Z52" s="86"/>
      <c r="AA52" s="86"/>
      <c r="AB52" s="86"/>
      <c r="AC52" s="41"/>
      <c r="AD52" s="41"/>
      <c r="AE52" s="86"/>
      <c r="AF52" s="86">
        <v>101400750</v>
      </c>
      <c r="AG52" s="41"/>
      <c r="AH52" s="14"/>
      <c r="AI52" s="17"/>
      <c r="AJ52" s="82"/>
      <c r="AK52" s="136"/>
    </row>
    <row r="53" spans="1:37">
      <c r="A53" s="15" t="s">
        <v>281</v>
      </c>
      <c r="B53" s="11"/>
      <c r="C53" s="86"/>
      <c r="D53" s="86"/>
      <c r="E53" s="86"/>
      <c r="F53" s="86"/>
      <c r="G53" s="86"/>
      <c r="H53" s="41"/>
      <c r="I53" s="41"/>
      <c r="J53" s="86"/>
      <c r="K53" s="86"/>
      <c r="L53" s="41"/>
      <c r="M53" s="86"/>
      <c r="N53" s="86"/>
      <c r="O53" s="41"/>
      <c r="P53" s="41"/>
      <c r="Q53" s="86"/>
      <c r="R53" s="41"/>
      <c r="S53" s="86"/>
      <c r="T53" s="86"/>
      <c r="U53" s="86"/>
      <c r="V53" s="86"/>
      <c r="W53" s="41"/>
      <c r="X53" s="86"/>
      <c r="Y53" s="86"/>
      <c r="Z53" s="86"/>
      <c r="AA53" s="86"/>
      <c r="AB53" s="86"/>
      <c r="AC53" s="41"/>
      <c r="AD53" s="41"/>
      <c r="AE53" s="86"/>
      <c r="AF53" s="86">
        <v>103374298</v>
      </c>
      <c r="AG53" s="41"/>
      <c r="AH53" s="14"/>
      <c r="AI53" s="17"/>
      <c r="AJ53" s="82"/>
      <c r="AK53" s="44"/>
    </row>
    <row r="54" spans="1:37">
      <c r="A54" s="15" t="s">
        <v>282</v>
      </c>
      <c r="B54" s="11"/>
      <c r="C54" s="86"/>
      <c r="D54" s="86"/>
      <c r="E54" s="86"/>
      <c r="F54" s="86"/>
      <c r="G54" s="86"/>
      <c r="H54" s="41"/>
      <c r="I54" s="41"/>
      <c r="J54" s="86"/>
      <c r="K54" s="86"/>
      <c r="L54" s="41"/>
      <c r="M54" s="86"/>
      <c r="N54" s="86"/>
      <c r="O54" s="41"/>
      <c r="P54" s="41"/>
      <c r="Q54" s="86"/>
      <c r="R54" s="41"/>
      <c r="S54" s="86"/>
      <c r="T54" s="86"/>
      <c r="U54" s="86"/>
      <c r="V54" s="86"/>
      <c r="W54" s="41"/>
      <c r="X54" s="86"/>
      <c r="Y54" s="86"/>
      <c r="Z54" s="86"/>
      <c r="AA54" s="86"/>
      <c r="AB54" s="86"/>
      <c r="AC54" s="41"/>
      <c r="AD54" s="41"/>
      <c r="AE54" s="94">
        <f>395383609-358200079</f>
        <v>37183530</v>
      </c>
      <c r="AF54" s="86"/>
      <c r="AG54" s="41"/>
      <c r="AH54" s="14"/>
      <c r="AI54" s="17"/>
      <c r="AJ54" s="82"/>
      <c r="AK54" s="44"/>
    </row>
    <row r="55" spans="1:37">
      <c r="A55" s="15" t="s">
        <v>209</v>
      </c>
      <c r="B55" s="11"/>
      <c r="C55" s="86"/>
      <c r="D55" s="86"/>
      <c r="E55" s="86"/>
      <c r="F55" s="86"/>
      <c r="G55" s="86"/>
      <c r="H55" s="41"/>
      <c r="I55" s="41"/>
      <c r="J55" s="86"/>
      <c r="K55" s="86"/>
      <c r="L55" s="41"/>
      <c r="M55" s="86"/>
      <c r="N55" s="86"/>
      <c r="O55" s="41"/>
      <c r="P55" s="41"/>
      <c r="Q55" s="94">
        <v>174600010</v>
      </c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86"/>
      <c r="AG55" s="41"/>
      <c r="AH55" s="14"/>
      <c r="AI55" s="17"/>
      <c r="AJ55" s="82"/>
      <c r="AK55" s="44"/>
    </row>
    <row r="56" spans="1:37">
      <c r="A56" s="134" t="s">
        <v>263</v>
      </c>
      <c r="B56" s="11"/>
      <c r="C56" s="86"/>
      <c r="D56" s="86"/>
      <c r="E56" s="86"/>
      <c r="F56" s="86"/>
      <c r="G56" s="86"/>
      <c r="H56" s="41"/>
      <c r="I56" s="41"/>
      <c r="J56" s="86"/>
      <c r="K56" s="86"/>
      <c r="L56" s="41"/>
      <c r="M56" s="86"/>
      <c r="N56" s="86"/>
      <c r="O56" s="41"/>
      <c r="P56" s="41"/>
      <c r="Q56" s="86"/>
      <c r="R56" s="41"/>
      <c r="S56" s="86"/>
      <c r="T56" s="86"/>
      <c r="U56" s="86"/>
      <c r="V56" s="86"/>
      <c r="W56" s="41"/>
      <c r="X56" s="86"/>
      <c r="Y56" s="86"/>
      <c r="Z56" s="86"/>
      <c r="AA56" s="86"/>
      <c r="AB56" s="86"/>
      <c r="AC56" s="41"/>
      <c r="AD56" s="41"/>
      <c r="AE56" s="86"/>
      <c r="AF56" s="86">
        <v>61709422</v>
      </c>
      <c r="AG56" s="41"/>
      <c r="AH56" s="14"/>
      <c r="AI56" s="17"/>
      <c r="AJ56" s="82"/>
      <c r="AK56" s="44"/>
    </row>
    <row r="57" spans="1:37">
      <c r="A57" s="134" t="s">
        <v>264</v>
      </c>
      <c r="B57" s="139"/>
      <c r="C57" s="143"/>
      <c r="D57" s="143"/>
      <c r="E57" s="86"/>
      <c r="F57" s="86"/>
      <c r="G57" s="86"/>
      <c r="H57" s="141"/>
      <c r="I57" s="141"/>
      <c r="J57" s="86"/>
      <c r="K57" s="86"/>
      <c r="L57" s="141"/>
      <c r="M57" s="86"/>
      <c r="N57" s="86"/>
      <c r="O57" s="141"/>
      <c r="P57" s="141"/>
      <c r="Q57" s="86"/>
      <c r="R57" s="141"/>
      <c r="S57" s="86"/>
      <c r="T57" s="86"/>
      <c r="U57" s="86"/>
      <c r="V57" s="86"/>
      <c r="W57" s="141"/>
      <c r="X57" s="86"/>
      <c r="Y57" s="86"/>
      <c r="Z57" s="86"/>
      <c r="AA57" s="86"/>
      <c r="AB57" s="86"/>
      <c r="AC57" s="141"/>
      <c r="AD57" s="41"/>
      <c r="AE57" s="86"/>
      <c r="AF57" s="86">
        <v>33402690</v>
      </c>
      <c r="AG57" s="41"/>
      <c r="AH57" s="14"/>
      <c r="AI57" s="17"/>
      <c r="AJ57" s="82"/>
      <c r="AK57" s="44"/>
    </row>
    <row r="58" spans="1:37">
      <c r="A58" s="134" t="s">
        <v>264</v>
      </c>
      <c r="B58" s="139"/>
      <c r="C58" s="143"/>
      <c r="D58" s="143"/>
      <c r="E58" s="86"/>
      <c r="F58" s="86"/>
      <c r="G58" s="86"/>
      <c r="H58" s="141"/>
      <c r="I58" s="141"/>
      <c r="J58" s="86"/>
      <c r="K58" s="86"/>
      <c r="L58" s="141"/>
      <c r="M58" s="86"/>
      <c r="N58" s="86"/>
      <c r="O58" s="141"/>
      <c r="P58" s="141"/>
      <c r="Q58" s="86"/>
      <c r="R58" s="141"/>
      <c r="S58" s="86"/>
      <c r="T58" s="86"/>
      <c r="U58" s="86"/>
      <c r="V58" s="86"/>
      <c r="W58" s="141"/>
      <c r="X58" s="86"/>
      <c r="Y58" s="86"/>
      <c r="Z58" s="86"/>
      <c r="AA58" s="86"/>
      <c r="AB58" s="86"/>
      <c r="AC58" s="141"/>
      <c r="AD58" s="41"/>
      <c r="AE58" s="86"/>
      <c r="AF58" s="86">
        <v>54493879</v>
      </c>
      <c r="AG58" s="41"/>
      <c r="AH58" s="14"/>
      <c r="AI58" s="17"/>
      <c r="AJ58" s="82"/>
      <c r="AK58" s="44"/>
    </row>
    <row r="59" spans="1:37">
      <c r="A59" s="134" t="s">
        <v>245</v>
      </c>
      <c r="B59" s="11"/>
      <c r="C59" s="86"/>
      <c r="D59" s="86"/>
      <c r="E59" s="86"/>
      <c r="F59" s="86"/>
      <c r="G59" s="86"/>
      <c r="H59" s="41"/>
      <c r="I59" s="41"/>
      <c r="J59" s="86"/>
      <c r="K59" s="86"/>
      <c r="L59" s="41"/>
      <c r="M59" s="86"/>
      <c r="N59" s="86"/>
      <c r="O59" s="41"/>
      <c r="P59" s="41"/>
      <c r="Q59" s="86"/>
      <c r="R59" s="41"/>
      <c r="S59" s="86"/>
      <c r="T59" s="86"/>
      <c r="U59" s="86"/>
      <c r="V59" s="86"/>
      <c r="W59" s="41"/>
      <c r="X59" s="86"/>
      <c r="Y59" s="86"/>
      <c r="Z59" s="86"/>
      <c r="AA59" s="86"/>
      <c r="AB59" s="86"/>
      <c r="AC59" s="41"/>
      <c r="AD59" s="41"/>
      <c r="AE59" s="86"/>
      <c r="AF59" s="86">
        <v>260658101</v>
      </c>
      <c r="AG59" s="41"/>
      <c r="AH59" s="14"/>
      <c r="AI59" s="17"/>
      <c r="AJ59" s="82"/>
      <c r="AK59" s="44"/>
    </row>
    <row r="60" spans="1:37">
      <c r="A60" s="134" t="s">
        <v>284</v>
      </c>
      <c r="B60" s="11"/>
      <c r="C60" s="86"/>
      <c r="D60" s="86"/>
      <c r="E60" s="86"/>
      <c r="F60" s="86"/>
      <c r="G60" s="86"/>
      <c r="H60" s="41"/>
      <c r="I60" s="41"/>
      <c r="J60" s="86"/>
      <c r="K60" s="86"/>
      <c r="L60" s="41"/>
      <c r="M60" s="86"/>
      <c r="N60" s="86"/>
      <c r="O60" s="41"/>
      <c r="P60" s="41"/>
      <c r="Q60" s="86"/>
      <c r="R60" s="41"/>
      <c r="S60" s="86"/>
      <c r="T60" s="86"/>
      <c r="U60" s="86"/>
      <c r="V60" s="86"/>
      <c r="W60" s="41"/>
      <c r="X60" s="86"/>
      <c r="Y60" s="86"/>
      <c r="Z60" s="86"/>
      <c r="AA60" s="86"/>
      <c r="AB60" s="86"/>
      <c r="AC60" s="41"/>
      <c r="AD60" s="41"/>
      <c r="AE60" s="86"/>
      <c r="AF60" s="86">
        <v>416002400</v>
      </c>
      <c r="AG60" s="41"/>
      <c r="AH60" s="14"/>
      <c r="AI60" s="17"/>
      <c r="AJ60" s="82"/>
      <c r="AK60" s="44"/>
    </row>
    <row r="61" spans="1:37">
      <c r="A61" s="134" t="s">
        <v>283</v>
      </c>
      <c r="B61" s="11"/>
      <c r="C61" s="86"/>
      <c r="D61" s="86"/>
      <c r="E61" s="86"/>
      <c r="F61" s="86"/>
      <c r="G61" s="86"/>
      <c r="H61" s="41"/>
      <c r="I61" s="41"/>
      <c r="J61" s="86"/>
      <c r="K61" s="94">
        <v>11617793</v>
      </c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14"/>
      <c r="AI61" s="17"/>
      <c r="AJ61" s="82"/>
      <c r="AK61" s="44"/>
    </row>
    <row r="62" spans="1:37">
      <c r="A62" s="15" t="s">
        <v>24</v>
      </c>
      <c r="B62" s="11"/>
      <c r="C62" s="41"/>
      <c r="D62" s="41"/>
      <c r="E62" s="50"/>
      <c r="F62" s="50"/>
      <c r="G62" s="50"/>
      <c r="H62" s="73"/>
      <c r="I62" s="41"/>
      <c r="J62" s="50"/>
      <c r="K62" s="50"/>
      <c r="L62" s="78"/>
      <c r="M62" s="50"/>
      <c r="N62" s="41"/>
      <c r="O62" s="41"/>
      <c r="P62" s="102"/>
      <c r="Q62" s="41"/>
      <c r="R62" s="50"/>
      <c r="S62" s="41"/>
      <c r="T62" s="41"/>
      <c r="U62" s="41"/>
      <c r="V62" s="41"/>
      <c r="W62" s="41"/>
      <c r="X62" s="50"/>
      <c r="Y62" s="41"/>
      <c r="Z62" s="41"/>
      <c r="AA62" s="41"/>
      <c r="AB62" s="41"/>
      <c r="AC62" s="41"/>
      <c r="AD62" s="87"/>
      <c r="AE62" s="41"/>
      <c r="AF62" s="41"/>
      <c r="AG62" s="41"/>
      <c r="AH62" s="14">
        <f>SUM(F62:AF62)</f>
        <v>0</v>
      </c>
      <c r="AI62" s="17"/>
    </row>
    <row r="63" spans="1:37">
      <c r="A63" s="15" t="s">
        <v>152</v>
      </c>
      <c r="B63" s="11"/>
      <c r="C63" s="41"/>
      <c r="D63" s="41"/>
      <c r="E63" s="50"/>
      <c r="F63" s="50"/>
      <c r="G63" s="50"/>
      <c r="H63" s="41"/>
      <c r="I63" s="41"/>
      <c r="J63" s="50"/>
      <c r="K63" s="50"/>
      <c r="L63" s="41"/>
      <c r="M63" s="94">
        <v>299546940</v>
      </c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2"/>
      <c r="AD63" s="87"/>
      <c r="AE63" s="41"/>
      <c r="AF63" s="41"/>
      <c r="AG63" s="41"/>
      <c r="AH63" s="14">
        <f>SUM(N63:AF63)</f>
        <v>0</v>
      </c>
      <c r="AI63" s="17"/>
      <c r="AJ63" s="48">
        <v>127684117</v>
      </c>
    </row>
    <row r="64" spans="1:37">
      <c r="A64" s="15" t="s">
        <v>153</v>
      </c>
      <c r="B64" s="11"/>
      <c r="C64" s="86"/>
      <c r="D64" s="86"/>
      <c r="E64" s="86"/>
      <c r="F64" s="86"/>
      <c r="G64" s="86"/>
      <c r="H64" s="41"/>
      <c r="I64" s="41"/>
      <c r="J64" s="86"/>
      <c r="K64" s="86"/>
      <c r="L64" s="41"/>
      <c r="M64" s="94">
        <v>1160262493</v>
      </c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2"/>
      <c r="AD64" s="41"/>
      <c r="AE64" s="41"/>
      <c r="AF64" s="41"/>
      <c r="AG64" s="41"/>
      <c r="AH64" s="14"/>
      <c r="AI64" s="17"/>
      <c r="AJ64" s="106"/>
    </row>
    <row r="65" spans="1:37">
      <c r="A65" s="15" t="s">
        <v>276</v>
      </c>
      <c r="B65" s="11"/>
      <c r="C65" s="86"/>
      <c r="D65" s="86"/>
      <c r="E65" s="86"/>
      <c r="F65" s="86"/>
      <c r="G65" s="86"/>
      <c r="H65" s="41"/>
      <c r="I65" s="41"/>
      <c r="J65" s="86"/>
      <c r="K65" s="86"/>
      <c r="L65" s="41"/>
      <c r="N65" s="41"/>
      <c r="O65" s="41"/>
      <c r="P65" s="41"/>
      <c r="Q65" s="90"/>
      <c r="R65" s="41"/>
      <c r="S65" s="90"/>
      <c r="T65" s="90"/>
      <c r="U65" s="65">
        <v>1795024598</v>
      </c>
      <c r="V65" s="41"/>
      <c r="W65" s="41"/>
      <c r="X65" s="41"/>
      <c r="Y65" s="41"/>
      <c r="Z65" s="41"/>
      <c r="AA65" s="41"/>
      <c r="AB65" s="41"/>
      <c r="AC65" s="42"/>
      <c r="AD65" s="41"/>
      <c r="AE65" s="41"/>
      <c r="AF65" s="41"/>
      <c r="AG65" s="41"/>
      <c r="AH65" s="14"/>
      <c r="AI65" s="17"/>
      <c r="AJ65" s="106"/>
    </row>
    <row r="66" spans="1:37">
      <c r="A66" s="15" t="s">
        <v>277</v>
      </c>
      <c r="B66" s="11"/>
      <c r="C66" s="86"/>
      <c r="D66" s="86"/>
      <c r="E66" s="86"/>
      <c r="F66" s="86"/>
      <c r="G66" s="86"/>
      <c r="H66" s="41"/>
      <c r="I66" s="41"/>
      <c r="J66" s="86"/>
      <c r="K66" s="86"/>
      <c r="L66" s="41"/>
      <c r="M66" s="94"/>
      <c r="N66" s="41"/>
      <c r="O66" s="41"/>
      <c r="P66" s="41"/>
      <c r="Q66" s="90"/>
      <c r="R66" s="41"/>
      <c r="S66" s="90"/>
      <c r="T66" s="90"/>
      <c r="U66" s="90"/>
      <c r="V66" s="41"/>
      <c r="W66" s="41"/>
      <c r="X66" s="90"/>
      <c r="Y66" s="65">
        <v>1610478199</v>
      </c>
      <c r="Z66" s="41"/>
      <c r="AA66" s="41"/>
      <c r="AB66" s="41"/>
      <c r="AC66" s="42"/>
      <c r="AD66" s="41"/>
      <c r="AE66" s="41"/>
      <c r="AF66" s="41"/>
      <c r="AG66" s="41"/>
      <c r="AH66" s="14"/>
      <c r="AI66" s="17"/>
      <c r="AJ66" s="106"/>
    </row>
    <row r="67" spans="1:37">
      <c r="A67" s="15" t="s">
        <v>278</v>
      </c>
      <c r="B67" s="11"/>
      <c r="C67" s="86"/>
      <c r="D67" s="86"/>
      <c r="E67" s="86"/>
      <c r="F67" s="86"/>
      <c r="G67" s="86"/>
      <c r="H67" s="41"/>
      <c r="I67" s="41"/>
      <c r="J67" s="86"/>
      <c r="K67" s="86"/>
      <c r="L67" s="41"/>
      <c r="M67" s="94"/>
      <c r="N67" s="41"/>
      <c r="O67" s="41"/>
      <c r="P67" s="41"/>
      <c r="Q67" s="90"/>
      <c r="R67" s="41"/>
      <c r="S67" s="90"/>
      <c r="T67" s="90"/>
      <c r="U67" s="90"/>
      <c r="V67" s="41"/>
      <c r="W67" s="41"/>
      <c r="X67" s="90"/>
      <c r="Y67" s="90"/>
      <c r="Z67" s="90"/>
      <c r="AA67" s="90"/>
      <c r="AB67" s="90"/>
      <c r="AC67" s="42"/>
      <c r="AD67" s="41"/>
      <c r="AE67" s="90"/>
      <c r="AF67" s="90">
        <v>808614514</v>
      </c>
      <c r="AG67" s="41"/>
      <c r="AH67" s="14"/>
      <c r="AI67" s="17"/>
      <c r="AJ67" s="106"/>
    </row>
    <row r="68" spans="1:37">
      <c r="A68" s="15" t="s">
        <v>279</v>
      </c>
      <c r="B68" s="11"/>
      <c r="C68" s="86"/>
      <c r="D68" s="86"/>
      <c r="E68" s="86"/>
      <c r="F68" s="86"/>
      <c r="G68" s="86"/>
      <c r="H68" s="41"/>
      <c r="I68" s="41"/>
      <c r="J68" s="86"/>
      <c r="K68" s="86"/>
      <c r="L68" s="41"/>
      <c r="M68" s="94"/>
      <c r="N68" s="41"/>
      <c r="O68" s="41"/>
      <c r="P68" s="41"/>
      <c r="Q68" s="90"/>
      <c r="R68" s="41"/>
      <c r="S68" s="90"/>
      <c r="T68" s="90"/>
      <c r="U68" s="90"/>
      <c r="V68" s="41"/>
      <c r="W68" s="41"/>
      <c r="X68" s="90"/>
      <c r="Y68" s="90"/>
      <c r="Z68" s="90"/>
      <c r="AA68" s="90"/>
      <c r="AB68" s="90"/>
      <c r="AC68" s="42"/>
      <c r="AD68" s="41"/>
      <c r="AE68" s="90"/>
      <c r="AF68" s="90">
        <v>187960020</v>
      </c>
      <c r="AG68" s="41"/>
      <c r="AH68" s="14"/>
      <c r="AI68" s="17"/>
      <c r="AJ68" s="106"/>
    </row>
    <row r="69" spans="1:37">
      <c r="A69" s="15" t="s">
        <v>280</v>
      </c>
      <c r="B69" s="11"/>
      <c r="C69" s="86"/>
      <c r="D69" s="86"/>
      <c r="E69" s="86"/>
      <c r="F69" s="86"/>
      <c r="G69" s="86"/>
      <c r="H69" s="41"/>
      <c r="I69" s="41"/>
      <c r="J69" s="86"/>
      <c r="K69" s="86"/>
      <c r="L69" s="41"/>
      <c r="M69" s="94"/>
      <c r="N69" s="41"/>
      <c r="O69" s="41"/>
      <c r="P69" s="41"/>
      <c r="Q69" s="90"/>
      <c r="R69" s="41"/>
      <c r="S69" s="90"/>
      <c r="T69" s="90"/>
      <c r="U69" s="90"/>
      <c r="V69" s="41"/>
      <c r="W69" s="41"/>
      <c r="X69" s="90"/>
      <c r="Y69" s="90"/>
      <c r="Z69" s="90"/>
      <c r="AA69" s="90"/>
      <c r="AB69" s="90"/>
      <c r="AC69" s="42"/>
      <c r="AD69" s="41"/>
      <c r="AE69" s="90"/>
      <c r="AF69" s="90">
        <v>188613682</v>
      </c>
      <c r="AG69" s="41"/>
      <c r="AH69" s="14"/>
      <c r="AI69" s="17"/>
      <c r="AJ69" s="106"/>
    </row>
    <row r="70" spans="1:37">
      <c r="A70" s="15" t="s">
        <v>286</v>
      </c>
      <c r="B70" s="11"/>
      <c r="C70" s="86"/>
      <c r="D70" s="86"/>
      <c r="E70" s="86"/>
      <c r="F70" s="86"/>
      <c r="G70" s="86"/>
      <c r="H70" s="41"/>
      <c r="I70" s="41"/>
      <c r="J70" s="86"/>
      <c r="K70" s="86"/>
      <c r="L70" s="41"/>
      <c r="M70" s="94"/>
      <c r="N70" s="41"/>
      <c r="O70" s="41"/>
      <c r="P70" s="41"/>
      <c r="Q70" s="90"/>
      <c r="R70" s="41"/>
      <c r="S70" s="90"/>
      <c r="T70" s="90"/>
      <c r="U70" s="90"/>
      <c r="V70" s="41"/>
      <c r="W70" s="41"/>
      <c r="X70" s="90"/>
      <c r="Y70" s="90"/>
      <c r="Z70" s="90"/>
      <c r="AA70" s="90"/>
      <c r="AB70" s="90"/>
      <c r="AC70" s="42"/>
      <c r="AD70" s="41"/>
      <c r="AE70" s="90"/>
      <c r="AF70" s="90">
        <v>370836537</v>
      </c>
      <c r="AG70" s="41"/>
      <c r="AH70" s="14"/>
      <c r="AI70" s="17"/>
      <c r="AJ70" s="106"/>
    </row>
    <row r="71" spans="1:37">
      <c r="A71" s="15" t="s">
        <v>285</v>
      </c>
      <c r="B71" s="11"/>
      <c r="C71" s="86"/>
      <c r="D71" s="86"/>
      <c r="E71" s="86"/>
      <c r="F71" s="86"/>
      <c r="G71" s="86"/>
      <c r="H71" s="41"/>
      <c r="I71" s="41"/>
      <c r="J71" s="86"/>
      <c r="K71" s="86"/>
      <c r="L71" s="41"/>
      <c r="M71" s="94"/>
      <c r="N71" s="41"/>
      <c r="O71" s="41"/>
      <c r="P71" s="41"/>
      <c r="Q71" s="90"/>
      <c r="R71" s="41"/>
      <c r="S71" s="90"/>
      <c r="T71" s="90"/>
      <c r="U71" s="90"/>
      <c r="V71" s="41"/>
      <c r="W71" s="41"/>
      <c r="X71" s="90"/>
      <c r="Y71" s="90"/>
      <c r="Z71" s="90"/>
      <c r="AA71" s="90"/>
      <c r="AB71" s="90"/>
      <c r="AC71" s="42"/>
      <c r="AD71" s="41"/>
      <c r="AE71" s="90"/>
      <c r="AF71" s="90">
        <v>296230003</v>
      </c>
      <c r="AG71" s="41"/>
      <c r="AH71" s="14"/>
      <c r="AI71" s="17"/>
      <c r="AJ71" s="106"/>
    </row>
    <row r="72" spans="1:37">
      <c r="A72" s="15" t="s">
        <v>287</v>
      </c>
      <c r="B72" s="11"/>
      <c r="C72" s="86"/>
      <c r="D72" s="86"/>
      <c r="E72" s="86"/>
      <c r="F72" s="86"/>
      <c r="G72" s="86"/>
      <c r="H72" s="41"/>
      <c r="I72" s="41"/>
      <c r="J72" s="86"/>
      <c r="K72" s="86"/>
      <c r="L72" s="41"/>
      <c r="M72" s="94"/>
      <c r="N72" s="41"/>
      <c r="O72" s="41"/>
      <c r="P72" s="41"/>
      <c r="Q72" s="90"/>
      <c r="R72" s="41"/>
      <c r="S72" s="90"/>
      <c r="T72" s="90"/>
      <c r="U72" s="90"/>
      <c r="V72" s="41"/>
      <c r="W72" s="41"/>
      <c r="X72" s="90"/>
      <c r="Y72" s="90"/>
      <c r="Z72" s="90"/>
      <c r="AA72" s="90"/>
      <c r="AB72" s="90"/>
      <c r="AC72" s="42"/>
      <c r="AD72" s="41"/>
      <c r="AE72" s="90"/>
      <c r="AF72" s="90">
        <v>863359234</v>
      </c>
      <c r="AG72" s="41"/>
      <c r="AH72" s="14"/>
      <c r="AI72" s="17"/>
      <c r="AJ72" s="106"/>
    </row>
    <row r="73" spans="1:37">
      <c r="A73" s="15" t="s">
        <v>288</v>
      </c>
      <c r="B73" s="11"/>
      <c r="C73" s="86"/>
      <c r="D73" s="86"/>
      <c r="E73" s="86"/>
      <c r="F73" s="86"/>
      <c r="G73" s="86"/>
      <c r="H73" s="41"/>
      <c r="I73" s="41"/>
      <c r="J73" s="86"/>
      <c r="K73" s="86"/>
      <c r="L73" s="41"/>
      <c r="M73" s="94"/>
      <c r="N73" s="41"/>
      <c r="O73" s="41"/>
      <c r="P73" s="41"/>
      <c r="Q73" s="90"/>
      <c r="R73" s="41"/>
      <c r="S73" s="90"/>
      <c r="T73" s="90"/>
      <c r="U73" s="90"/>
      <c r="V73" s="41"/>
      <c r="W73" s="41"/>
      <c r="X73" s="90"/>
      <c r="Y73" s="90"/>
      <c r="Z73" s="90"/>
      <c r="AA73" s="90"/>
      <c r="AB73" s="90"/>
      <c r="AC73" s="42"/>
      <c r="AD73" s="41"/>
      <c r="AE73" s="90"/>
      <c r="AF73" s="90">
        <v>159570775</v>
      </c>
      <c r="AG73" s="41"/>
      <c r="AH73" s="14"/>
      <c r="AI73" s="17"/>
      <c r="AJ73" s="106"/>
    </row>
    <row r="74" spans="1:37">
      <c r="A74" s="15" t="s">
        <v>180</v>
      </c>
      <c r="B74" s="11"/>
      <c r="C74" s="41"/>
      <c r="D74" s="41"/>
      <c r="E74" s="50"/>
      <c r="F74" s="50"/>
      <c r="G74" s="50"/>
      <c r="H74" s="41"/>
      <c r="I74" s="41"/>
      <c r="J74" s="50"/>
      <c r="K74" s="50"/>
      <c r="L74" s="41"/>
      <c r="M74" s="50"/>
      <c r="N74" s="41"/>
      <c r="O74" s="41"/>
      <c r="P74" s="65"/>
      <c r="Q74" s="42"/>
      <c r="R74" s="41"/>
      <c r="S74" s="42"/>
      <c r="T74" s="42"/>
      <c r="U74" s="42"/>
      <c r="V74" s="41"/>
      <c r="W74" s="41"/>
      <c r="X74" s="42"/>
      <c r="Y74" s="41"/>
      <c r="Z74" s="41"/>
      <c r="AA74" s="41"/>
      <c r="AB74" s="41"/>
      <c r="AC74" s="41"/>
      <c r="AD74" s="41"/>
      <c r="AE74" s="41"/>
      <c r="AF74" s="41"/>
      <c r="AG74" s="41"/>
      <c r="AH74" s="14"/>
      <c r="AI74" s="17"/>
      <c r="AJ74" s="106"/>
      <c r="AK74" s="3" t="s">
        <v>257</v>
      </c>
    </row>
    <row r="75" spans="1:37">
      <c r="A75" s="15" t="s">
        <v>180</v>
      </c>
      <c r="B75" s="11"/>
      <c r="C75" s="41"/>
      <c r="D75" s="41"/>
      <c r="E75" s="50"/>
      <c r="F75" s="50"/>
      <c r="G75" s="50"/>
      <c r="H75" s="41"/>
      <c r="I75" s="41"/>
      <c r="J75" s="50"/>
      <c r="K75" s="50"/>
      <c r="L75" s="41"/>
      <c r="M75" s="50"/>
      <c r="N75" s="41"/>
      <c r="O75" s="41"/>
      <c r="P75" s="41"/>
      <c r="Q75" s="41"/>
      <c r="R75" s="65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14"/>
      <c r="AI75" s="17"/>
      <c r="AJ75" s="106"/>
    </row>
    <row r="76" spans="1:37">
      <c r="A76" s="15" t="s">
        <v>289</v>
      </c>
      <c r="B76" s="11"/>
      <c r="C76" s="41"/>
      <c r="D76" s="41"/>
      <c r="E76" s="50"/>
      <c r="F76" s="50"/>
      <c r="G76" s="50"/>
      <c r="H76" s="41"/>
      <c r="I76" s="41"/>
      <c r="J76" s="50"/>
      <c r="K76" s="50"/>
      <c r="L76" s="41"/>
      <c r="M76" s="50"/>
      <c r="N76" s="41"/>
      <c r="O76" s="41"/>
      <c r="P76" s="41"/>
      <c r="Q76" s="41"/>
      <c r="R76" s="65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14"/>
      <c r="AI76" s="17"/>
      <c r="AJ76" s="106"/>
    </row>
    <row r="77" spans="1:37">
      <c r="A77" s="15" t="s">
        <v>158</v>
      </c>
      <c r="B77" s="11"/>
      <c r="C77" s="48"/>
      <c r="D77" s="48"/>
      <c r="E77" s="48"/>
      <c r="F77" s="48"/>
      <c r="G77" s="48"/>
      <c r="H77" s="41"/>
      <c r="I77" s="41"/>
      <c r="J77" s="48"/>
      <c r="K77" s="48"/>
      <c r="L77" s="41"/>
      <c r="M77" s="48"/>
      <c r="N77" s="48"/>
      <c r="O77" s="41"/>
      <c r="P77" s="41"/>
      <c r="Q77" s="48"/>
      <c r="R77" s="41"/>
      <c r="S77" s="48"/>
      <c r="T77" s="48"/>
      <c r="U77" s="48"/>
      <c r="V77" s="41"/>
      <c r="W77" s="41"/>
      <c r="X77" s="48"/>
      <c r="Y77" s="48"/>
      <c r="Z77" s="48"/>
      <c r="AA77" s="48"/>
      <c r="AB77" s="48"/>
      <c r="AC77" s="41"/>
      <c r="AD77" s="41"/>
      <c r="AE77" s="48"/>
      <c r="AF77" s="48">
        <v>61003007</v>
      </c>
      <c r="AG77" s="41"/>
      <c r="AH77" s="14"/>
      <c r="AI77" s="17"/>
    </row>
    <row r="78" spans="1:37">
      <c r="A78" s="15" t="s">
        <v>159</v>
      </c>
      <c r="B78" s="11"/>
      <c r="C78" s="48"/>
      <c r="D78" s="48"/>
      <c r="E78" s="48"/>
      <c r="F78" s="48"/>
      <c r="G78" s="48"/>
      <c r="H78" s="41"/>
      <c r="I78" s="41"/>
      <c r="J78" s="48"/>
      <c r="K78" s="48"/>
      <c r="L78" s="41"/>
      <c r="M78" s="48"/>
      <c r="N78" s="48"/>
      <c r="O78" s="41"/>
      <c r="P78" s="41"/>
      <c r="Q78" s="48"/>
      <c r="R78" s="41"/>
      <c r="S78" s="48"/>
      <c r="T78" s="48"/>
      <c r="U78" s="48"/>
      <c r="V78" s="41"/>
      <c r="W78" s="41"/>
      <c r="X78" s="48"/>
      <c r="Y78" s="48"/>
      <c r="Z78" s="48"/>
      <c r="AA78" s="48"/>
      <c r="AB78" s="48"/>
      <c r="AC78" s="41"/>
      <c r="AD78" s="41"/>
      <c r="AE78" s="48"/>
      <c r="AF78" s="48">
        <v>127319117</v>
      </c>
      <c r="AG78" s="41"/>
      <c r="AH78" s="14"/>
      <c r="AI78" s="17"/>
    </row>
    <row r="79" spans="1:37">
      <c r="A79" s="15" t="s">
        <v>160</v>
      </c>
      <c r="B79" s="11"/>
      <c r="C79" s="48"/>
      <c r="D79" s="48"/>
      <c r="E79" s="48"/>
      <c r="F79" s="48"/>
      <c r="G79" s="48"/>
      <c r="H79" s="41"/>
      <c r="I79" s="41"/>
      <c r="J79" s="48"/>
      <c r="K79" s="48"/>
      <c r="L79" s="41"/>
      <c r="M79" s="48"/>
      <c r="N79" s="48"/>
      <c r="O79" s="41"/>
      <c r="P79" s="41"/>
      <c r="Q79" s="48"/>
      <c r="R79" s="41"/>
      <c r="S79" s="48"/>
      <c r="T79" s="48"/>
      <c r="U79" s="48"/>
      <c r="V79" s="41"/>
      <c r="W79" s="41"/>
      <c r="X79" s="48"/>
      <c r="Y79" s="48"/>
      <c r="Z79" s="48"/>
      <c r="AA79" s="48"/>
      <c r="AB79" s="48"/>
      <c r="AC79" s="41"/>
      <c r="AD79" s="41"/>
      <c r="AE79" s="48"/>
      <c r="AF79" s="48">
        <v>12869993</v>
      </c>
      <c r="AG79" s="41"/>
      <c r="AH79" s="14"/>
      <c r="AI79" s="17"/>
    </row>
    <row r="80" spans="1:37">
      <c r="A80" s="15" t="s">
        <v>161</v>
      </c>
      <c r="B80" s="11"/>
      <c r="C80" s="48"/>
      <c r="D80" s="48"/>
      <c r="E80" s="48"/>
      <c r="F80" s="48"/>
      <c r="G80" s="48"/>
      <c r="H80" s="41"/>
      <c r="I80" s="41"/>
      <c r="J80" s="48"/>
      <c r="K80" s="48"/>
      <c r="L80" s="41"/>
      <c r="M80" s="48"/>
      <c r="N80" s="48"/>
      <c r="O80" s="41"/>
      <c r="P80" s="41"/>
      <c r="Q80" s="48"/>
      <c r="R80" s="41"/>
      <c r="S80" s="48"/>
      <c r="T80" s="48"/>
      <c r="U80" s="48"/>
      <c r="V80" s="41"/>
      <c r="W80" s="41"/>
      <c r="X80" s="48"/>
      <c r="Y80" s="48"/>
      <c r="Z80" s="48"/>
      <c r="AA80" s="48"/>
      <c r="AB80" s="48"/>
      <c r="AC80" s="41"/>
      <c r="AD80" s="41"/>
      <c r="AE80" s="48"/>
      <c r="AF80" s="48">
        <v>149745116</v>
      </c>
      <c r="AG80" s="41"/>
      <c r="AH80" s="14"/>
      <c r="AI80" s="17"/>
    </row>
    <row r="81" spans="1:35">
      <c r="A81" s="15" t="s">
        <v>177</v>
      </c>
      <c r="B81" s="11"/>
      <c r="C81" s="48"/>
      <c r="D81" s="48"/>
      <c r="E81" s="48"/>
      <c r="F81" s="48"/>
      <c r="G81" s="48"/>
      <c r="H81" s="41"/>
      <c r="I81" s="41"/>
      <c r="J81" s="48"/>
      <c r="K81" s="48"/>
      <c r="L81" s="41"/>
      <c r="M81" s="48"/>
      <c r="N81" s="48"/>
      <c r="O81" s="41"/>
      <c r="P81" s="41"/>
      <c r="Q81" s="48"/>
      <c r="R81" s="41"/>
      <c r="S81" s="48"/>
      <c r="T81" s="48"/>
      <c r="U81" s="48"/>
      <c r="V81" s="41"/>
      <c r="W81" s="41"/>
      <c r="X81" s="48"/>
      <c r="Y81" s="48"/>
      <c r="Z81" s="48"/>
      <c r="AA81" s="48"/>
      <c r="AB81" s="48"/>
      <c r="AC81" s="41"/>
      <c r="AD81" s="41"/>
      <c r="AE81" s="48"/>
      <c r="AF81" s="48">
        <v>16444991</v>
      </c>
      <c r="AG81" s="41"/>
      <c r="AH81" s="14"/>
      <c r="AI81" s="17"/>
    </row>
    <row r="82" spans="1:35">
      <c r="A82" s="15" t="s">
        <v>178</v>
      </c>
      <c r="B82" s="11"/>
      <c r="C82" s="48"/>
      <c r="D82" s="48"/>
      <c r="E82" s="48"/>
      <c r="F82" s="48"/>
      <c r="G82" s="48"/>
      <c r="H82" s="41"/>
      <c r="I82" s="41"/>
      <c r="J82" s="48"/>
      <c r="K82" s="48"/>
      <c r="L82" s="41"/>
      <c r="M82" s="48"/>
      <c r="N82" s="48"/>
      <c r="O82" s="41"/>
      <c r="P82" s="41"/>
      <c r="Q82" s="48"/>
      <c r="R82" s="41"/>
      <c r="S82" s="48"/>
      <c r="T82" s="48"/>
      <c r="U82" s="48"/>
      <c r="V82" s="41"/>
      <c r="W82" s="41"/>
      <c r="X82" s="48"/>
      <c r="Y82" s="48"/>
      <c r="Z82" s="48"/>
      <c r="AA82" s="48"/>
      <c r="AB82" s="48"/>
      <c r="AC82" s="41"/>
      <c r="AD82" s="41"/>
      <c r="AE82" s="48"/>
      <c r="AF82" s="48">
        <v>3574998</v>
      </c>
      <c r="AG82" s="41"/>
      <c r="AH82" s="14"/>
      <c r="AI82" s="17"/>
    </row>
    <row r="83" spans="1:35">
      <c r="A83" s="15" t="s">
        <v>179</v>
      </c>
      <c r="B83" s="11"/>
      <c r="C83" s="48"/>
      <c r="D83" s="48"/>
      <c r="E83" s="48"/>
      <c r="F83" s="48"/>
      <c r="G83" s="48"/>
      <c r="H83" s="41"/>
      <c r="I83" s="41"/>
      <c r="J83" s="48"/>
      <c r="K83" s="48"/>
      <c r="L83" s="41"/>
      <c r="M83" s="48"/>
      <c r="N83" s="48"/>
      <c r="O83" s="41"/>
      <c r="P83" s="41"/>
      <c r="Q83" s="48"/>
      <c r="R83" s="41"/>
      <c r="S83" s="48"/>
      <c r="T83" s="48"/>
      <c r="U83" s="48"/>
      <c r="V83" s="41"/>
      <c r="W83" s="41"/>
      <c r="X83" s="48"/>
      <c r="Y83" s="48"/>
      <c r="Z83" s="48"/>
      <c r="AA83" s="48"/>
      <c r="AB83" s="48"/>
      <c r="AC83" s="41"/>
      <c r="AD83" s="41"/>
      <c r="AE83" s="48"/>
      <c r="AF83" s="48">
        <v>10724994</v>
      </c>
      <c r="AG83" s="41"/>
      <c r="AH83" s="14"/>
      <c r="AI83" s="17"/>
    </row>
    <row r="84" spans="1:35">
      <c r="A84" s="15" t="s">
        <v>258</v>
      </c>
      <c r="B84" s="11"/>
      <c r="C84" s="73"/>
      <c r="D84" s="48"/>
      <c r="E84" s="48"/>
      <c r="F84" s="48"/>
      <c r="G84" s="48"/>
      <c r="H84" s="73"/>
      <c r="I84" s="73"/>
      <c r="J84" s="48"/>
      <c r="K84" s="48"/>
      <c r="L84" s="73"/>
      <c r="M84" s="48"/>
      <c r="N84" s="73">
        <v>283415000</v>
      </c>
      <c r="O84" s="41"/>
      <c r="P84" s="73"/>
      <c r="Q84" s="48"/>
      <c r="R84" s="42"/>
      <c r="S84" s="73"/>
      <c r="T84" s="73"/>
      <c r="U84" s="73"/>
      <c r="V84" s="48"/>
      <c r="W84" s="41"/>
      <c r="X84" s="73"/>
      <c r="Y84" s="48">
        <v>188707075</v>
      </c>
      <c r="Z84" s="73"/>
      <c r="AA84" s="73"/>
      <c r="AB84" s="73"/>
      <c r="AC84" s="41"/>
      <c r="AD84" s="41"/>
      <c r="AE84" s="73"/>
      <c r="AF84" s="73"/>
      <c r="AG84" s="41"/>
      <c r="AH84" s="14"/>
      <c r="AI84" s="17"/>
    </row>
    <row r="85" spans="1:35">
      <c r="A85" s="15" t="s">
        <v>290</v>
      </c>
      <c r="B85" s="11"/>
      <c r="C85" s="73"/>
      <c r="D85" s="48"/>
      <c r="E85" s="48"/>
      <c r="F85" s="48"/>
      <c r="G85" s="48"/>
      <c r="H85" s="73"/>
      <c r="I85" s="73"/>
      <c r="J85" s="48"/>
      <c r="K85" s="48"/>
      <c r="L85" s="73"/>
      <c r="M85" s="48"/>
      <c r="N85" s="73"/>
      <c r="O85" s="41"/>
      <c r="P85" s="73"/>
      <c r="R85" s="42"/>
      <c r="S85" s="73">
        <v>159941880</v>
      </c>
      <c r="T85" s="73"/>
      <c r="U85" s="73"/>
      <c r="V85" s="48"/>
      <c r="W85" s="41"/>
      <c r="X85" s="73"/>
      <c r="Y85" s="48">
        <v>128233980</v>
      </c>
      <c r="Z85" s="73"/>
      <c r="AA85" s="73"/>
      <c r="AB85" s="73"/>
      <c r="AC85" s="41"/>
      <c r="AD85" s="41"/>
      <c r="AE85" s="73"/>
      <c r="AF85" s="73"/>
      <c r="AG85" s="41"/>
      <c r="AH85" s="14"/>
      <c r="AI85" s="17"/>
    </row>
    <row r="86" spans="1:35">
      <c r="A86" s="15" t="s">
        <v>291</v>
      </c>
      <c r="B86" s="11"/>
      <c r="C86" s="73"/>
      <c r="D86" s="48"/>
      <c r="E86" s="48"/>
      <c r="F86" s="48"/>
      <c r="G86" s="48"/>
      <c r="H86" s="73"/>
      <c r="I86" s="73"/>
      <c r="J86" s="48"/>
      <c r="K86" s="48"/>
      <c r="L86" s="73"/>
      <c r="M86" s="48"/>
      <c r="N86" s="73"/>
      <c r="O86" s="41"/>
      <c r="P86" s="73"/>
      <c r="R86" s="42"/>
      <c r="S86" s="73"/>
      <c r="T86" s="73"/>
      <c r="U86" s="73"/>
      <c r="V86" s="48"/>
      <c r="W86" s="41"/>
      <c r="X86" s="73"/>
      <c r="Y86" s="48">
        <v>224883540</v>
      </c>
      <c r="Z86" s="73"/>
      <c r="AA86" s="73"/>
      <c r="AB86" s="73"/>
      <c r="AC86" s="41"/>
      <c r="AD86" s="41"/>
      <c r="AE86" s="73"/>
      <c r="AF86" s="73"/>
      <c r="AG86" s="41"/>
      <c r="AH86" s="14"/>
      <c r="AI86" s="17"/>
    </row>
    <row r="87" spans="1:35" ht="15">
      <c r="A87" s="15" t="s">
        <v>27</v>
      </c>
      <c r="B87" s="11"/>
      <c r="C87" s="48"/>
      <c r="D87" s="48"/>
      <c r="E87" s="48"/>
      <c r="F87" s="48"/>
      <c r="G87" s="73">
        <f>40950000-4634200</f>
        <v>36315800</v>
      </c>
      <c r="H87" s="41"/>
      <c r="I87" s="51"/>
      <c r="J87" s="78"/>
      <c r="K87" s="90"/>
      <c r="L87" s="73"/>
      <c r="M87" s="65">
        <v>204750000</v>
      </c>
      <c r="N87" s="41"/>
      <c r="O87" s="41"/>
      <c r="P87" s="48"/>
      <c r="Q87" s="73"/>
      <c r="R87" s="41"/>
      <c r="S87" s="48"/>
      <c r="T87" s="48"/>
      <c r="U87" s="48"/>
      <c r="V87" s="48"/>
      <c r="W87" s="41"/>
      <c r="X87" s="48"/>
      <c r="Y87" s="48"/>
      <c r="Z87" s="48"/>
      <c r="AA87" s="48"/>
      <c r="AB87" s="48"/>
      <c r="AC87" s="41"/>
      <c r="AD87" s="41"/>
      <c r="AE87" s="48"/>
      <c r="AF87" s="48"/>
      <c r="AG87" s="48"/>
      <c r="AH87" s="14">
        <f>SUM(C87:AG87)</f>
        <v>241065800</v>
      </c>
      <c r="AI87" s="17"/>
    </row>
    <row r="88" spans="1:35">
      <c r="A88" s="15" t="s">
        <v>165</v>
      </c>
      <c r="B88" s="11"/>
      <c r="C88" s="16"/>
      <c r="D88" s="16"/>
      <c r="E88" s="16"/>
      <c r="F88" s="16"/>
      <c r="G88" s="16"/>
      <c r="H88" s="41"/>
      <c r="I88" s="41"/>
      <c r="J88" s="16"/>
      <c r="K88" s="16"/>
      <c r="L88" s="41"/>
      <c r="M88" s="16"/>
      <c r="N88" s="16"/>
      <c r="O88" s="41"/>
      <c r="P88" s="41"/>
      <c r="Q88" s="16"/>
      <c r="R88" s="41"/>
      <c r="S88" s="16"/>
      <c r="T88" s="16"/>
      <c r="U88" s="16"/>
      <c r="V88" s="48"/>
      <c r="W88" s="41"/>
      <c r="X88" s="16"/>
      <c r="Y88" s="16"/>
      <c r="Z88" s="16"/>
      <c r="AA88" s="16"/>
      <c r="AB88" s="16"/>
      <c r="AC88" s="41"/>
      <c r="AD88" s="41"/>
      <c r="AE88" s="16"/>
      <c r="AF88" s="16">
        <v>29350500</v>
      </c>
      <c r="AG88" s="48"/>
      <c r="AH88" s="14"/>
      <c r="AI88" s="17"/>
    </row>
    <row r="89" spans="1:35">
      <c r="A89" s="134" t="s">
        <v>220</v>
      </c>
      <c r="B89" s="135"/>
      <c r="C89" s="48"/>
      <c r="D89" s="48"/>
      <c r="E89" s="48"/>
      <c r="F89" s="48"/>
      <c r="G89" s="48"/>
      <c r="H89" s="50"/>
      <c r="I89" s="50"/>
      <c r="J89" s="48"/>
      <c r="K89" s="48"/>
      <c r="L89" s="50"/>
      <c r="M89" s="48"/>
      <c r="N89" s="48"/>
      <c r="O89" s="50"/>
      <c r="P89" s="50"/>
      <c r="Q89" s="48"/>
      <c r="R89" s="50"/>
      <c r="S89" s="48"/>
      <c r="T89" s="48"/>
      <c r="U89" s="48"/>
      <c r="V89" s="48"/>
      <c r="W89" s="50"/>
      <c r="X89" s="48"/>
      <c r="Y89" s="48"/>
      <c r="Z89" s="48"/>
      <c r="AA89" s="48"/>
      <c r="AB89" s="48"/>
      <c r="AC89" s="41"/>
      <c r="AD89" s="41"/>
      <c r="AE89" s="48"/>
      <c r="AF89" s="73">
        <f>250249500-8557500</f>
        <v>241692000</v>
      </c>
      <c r="AG89" s="48"/>
      <c r="AH89" s="14"/>
      <c r="AI89" s="17"/>
    </row>
    <row r="90" spans="1:35">
      <c r="A90" s="134" t="s">
        <v>221</v>
      </c>
      <c r="B90" s="135"/>
      <c r="C90" s="48"/>
      <c r="D90" s="48"/>
      <c r="E90" s="48"/>
      <c r="F90" s="48"/>
      <c r="G90" s="48"/>
      <c r="H90" s="50"/>
      <c r="I90" s="50"/>
      <c r="J90" s="48"/>
      <c r="K90" s="48"/>
      <c r="L90" s="50"/>
      <c r="M90" s="48"/>
      <c r="N90" s="48"/>
      <c r="O90" s="50"/>
      <c r="P90" s="50"/>
      <c r="Q90" s="48"/>
      <c r="R90" s="50"/>
      <c r="S90" s="48"/>
      <c r="T90" s="48"/>
      <c r="U90" s="48"/>
      <c r="V90" s="48"/>
      <c r="W90" s="50"/>
      <c r="X90" s="48"/>
      <c r="Y90" s="48"/>
      <c r="Z90" s="48"/>
      <c r="AA90" s="48"/>
      <c r="AB90" s="48"/>
      <c r="AC90" s="41"/>
      <c r="AD90" s="41"/>
      <c r="AE90" s="48"/>
      <c r="AF90" s="48">
        <v>167000000</v>
      </c>
      <c r="AG90" s="48"/>
      <c r="AH90" s="14"/>
      <c r="AI90" s="17"/>
    </row>
    <row r="91" spans="1:35">
      <c r="A91" s="134" t="s">
        <v>222</v>
      </c>
      <c r="B91" s="135"/>
      <c r="C91" s="48"/>
      <c r="D91" s="48"/>
      <c r="E91" s="48"/>
      <c r="F91" s="48"/>
      <c r="G91" s="48"/>
      <c r="H91" s="50"/>
      <c r="I91" s="50"/>
      <c r="J91" s="48"/>
      <c r="K91" s="48"/>
      <c r="L91" s="50"/>
      <c r="M91" s="48"/>
      <c r="N91" s="48"/>
      <c r="O91" s="50"/>
      <c r="P91" s="50"/>
      <c r="Q91" s="48"/>
      <c r="R91" s="50"/>
      <c r="S91" s="48"/>
      <c r="T91" s="48"/>
      <c r="U91" s="48"/>
      <c r="V91" s="48"/>
      <c r="W91" s="50"/>
      <c r="X91" s="48"/>
      <c r="Y91" s="48"/>
      <c r="Z91" s="48"/>
      <c r="AA91" s="48"/>
      <c r="AB91" s="48"/>
      <c r="AC91" s="41"/>
      <c r="AD91" s="41"/>
      <c r="AE91" s="48"/>
      <c r="AF91" s="48">
        <v>250500</v>
      </c>
      <c r="AG91" s="48"/>
      <c r="AH91" s="14"/>
      <c r="AI91" s="17"/>
    </row>
    <row r="92" spans="1:35">
      <c r="A92" s="134" t="s">
        <v>252</v>
      </c>
      <c r="B92" s="135"/>
      <c r="C92" s="48"/>
      <c r="D92" s="48"/>
      <c r="E92" s="48"/>
      <c r="F92" s="48"/>
      <c r="G92" s="48"/>
      <c r="H92" s="50"/>
      <c r="I92" s="50"/>
      <c r="J92" s="48"/>
      <c r="K92" s="48"/>
      <c r="L92" s="50"/>
      <c r="M92" s="48"/>
      <c r="N92" s="48"/>
      <c r="O92" s="50"/>
      <c r="P92" s="50"/>
      <c r="Q92" s="48"/>
      <c r="R92" s="50"/>
      <c r="S92" s="48"/>
      <c r="T92" s="48"/>
      <c r="U92" s="48"/>
      <c r="V92" s="48"/>
      <c r="W92" s="50"/>
      <c r="X92" s="48"/>
      <c r="Y92" s="48"/>
      <c r="Z92" s="48"/>
      <c r="AA92" s="48"/>
      <c r="AB92" s="48"/>
      <c r="AC92" s="41"/>
      <c r="AD92" s="41"/>
      <c r="AE92" s="48"/>
      <c r="AF92" s="48">
        <v>18300000</v>
      </c>
      <c r="AG92" s="48"/>
      <c r="AH92" s="14"/>
      <c r="AI92" s="17"/>
    </row>
    <row r="93" spans="1:35">
      <c r="A93" s="134" t="s">
        <v>262</v>
      </c>
      <c r="B93" s="135"/>
      <c r="C93" s="48"/>
      <c r="D93" s="48"/>
      <c r="E93" s="48"/>
      <c r="F93" s="48"/>
      <c r="G93" s="48"/>
      <c r="H93" s="50"/>
      <c r="I93" s="50"/>
      <c r="J93" s="48"/>
      <c r="K93" s="48"/>
      <c r="L93" s="50"/>
      <c r="M93" s="48"/>
      <c r="N93" s="48"/>
      <c r="O93" s="50"/>
      <c r="P93" s="50"/>
      <c r="Q93" s="48"/>
      <c r="R93" s="50"/>
      <c r="S93" s="48"/>
      <c r="T93" s="48"/>
      <c r="U93" s="48"/>
      <c r="V93" s="48"/>
      <c r="W93" s="50"/>
      <c r="X93" s="48"/>
      <c r="Y93" s="48"/>
      <c r="Z93" s="48"/>
      <c r="AA93" s="48"/>
      <c r="AB93" s="48"/>
      <c r="AC93" s="41"/>
      <c r="AD93" s="41"/>
      <c r="AE93" s="48"/>
      <c r="AF93" s="48">
        <v>6100000</v>
      </c>
      <c r="AG93" s="48"/>
      <c r="AH93" s="14"/>
      <c r="AI93" s="17"/>
    </row>
    <row r="94" spans="1:35">
      <c r="A94" s="134" t="s">
        <v>223</v>
      </c>
      <c r="B94" s="135"/>
      <c r="C94" s="48"/>
      <c r="D94" s="48"/>
      <c r="E94" s="48"/>
      <c r="F94" s="48"/>
      <c r="G94" s="48"/>
      <c r="H94" s="50"/>
      <c r="I94" s="50"/>
      <c r="J94" s="48"/>
      <c r="K94" s="48"/>
      <c r="L94" s="73"/>
      <c r="M94" s="48"/>
      <c r="N94" s="48"/>
      <c r="O94" s="50"/>
      <c r="P94" s="50"/>
      <c r="Q94" s="48"/>
      <c r="R94" s="50"/>
      <c r="S94" s="48"/>
      <c r="T94" s="48"/>
      <c r="U94" s="48"/>
      <c r="V94" s="48"/>
      <c r="W94" s="50"/>
      <c r="X94" s="48"/>
      <c r="Y94" s="48"/>
      <c r="Z94" s="48"/>
      <c r="AA94" s="48"/>
      <c r="AB94" s="48"/>
      <c r="AC94" s="41"/>
      <c r="AD94" s="41"/>
      <c r="AE94" s="48"/>
      <c r="AF94" s="48">
        <v>66800000</v>
      </c>
      <c r="AG94" s="48"/>
      <c r="AH94" s="14"/>
      <c r="AI94" s="17"/>
    </row>
    <row r="95" spans="1:35">
      <c r="A95" s="134" t="s">
        <v>243</v>
      </c>
      <c r="B95" s="135"/>
      <c r="C95" s="48"/>
      <c r="D95" s="48"/>
      <c r="E95" s="48"/>
      <c r="F95" s="48"/>
      <c r="G95" s="48"/>
      <c r="H95" s="50"/>
      <c r="I95" s="50"/>
      <c r="J95" s="48"/>
      <c r="K95" s="48"/>
      <c r="L95" s="73"/>
      <c r="M95" s="48"/>
      <c r="N95" s="48"/>
      <c r="O95" s="50"/>
      <c r="P95" s="50"/>
      <c r="Q95" s="48"/>
      <c r="R95" s="50"/>
      <c r="S95" s="48"/>
      <c r="T95" s="48"/>
      <c r="U95" s="48"/>
      <c r="V95" s="48"/>
      <c r="W95" s="50"/>
      <c r="X95" s="48"/>
      <c r="Y95" s="48"/>
      <c r="Z95" s="48"/>
      <c r="AA95" s="48"/>
      <c r="AB95" s="48"/>
      <c r="AC95" s="41"/>
      <c r="AD95" s="41"/>
      <c r="AE95" s="48"/>
      <c r="AF95" s="48">
        <v>88825000</v>
      </c>
      <c r="AG95" s="48"/>
      <c r="AH95" s="14"/>
      <c r="AI95" s="17"/>
    </row>
    <row r="96" spans="1:35">
      <c r="A96" s="134" t="s">
        <v>244</v>
      </c>
      <c r="B96" s="135"/>
      <c r="C96" s="48"/>
      <c r="D96" s="48"/>
      <c r="E96" s="48"/>
      <c r="F96" s="48"/>
      <c r="G96" s="48"/>
      <c r="H96" s="50"/>
      <c r="I96" s="50"/>
      <c r="J96" s="48"/>
      <c r="K96" s="48"/>
      <c r="L96" s="73"/>
      <c r="M96" s="48"/>
      <c r="N96" s="48"/>
      <c r="O96" s="50"/>
      <c r="P96" s="50"/>
      <c r="Q96" s="48"/>
      <c r="R96" s="50"/>
      <c r="S96" s="48"/>
      <c r="T96" s="48"/>
      <c r="U96" s="48"/>
      <c r="V96" s="48"/>
      <c r="W96" s="50"/>
      <c r="X96" s="48"/>
      <c r="Y96" s="48"/>
      <c r="Z96" s="48"/>
      <c r="AA96" s="48"/>
      <c r="AB96" s="48"/>
      <c r="AC96" s="41"/>
      <c r="AD96" s="41"/>
      <c r="AE96" s="48"/>
      <c r="AF96" s="48">
        <v>1100000</v>
      </c>
      <c r="AG96" s="48"/>
      <c r="AH96" s="14"/>
      <c r="AI96" s="17"/>
    </row>
    <row r="97" spans="1:35">
      <c r="A97" s="134" t="s">
        <v>196</v>
      </c>
      <c r="B97" s="135"/>
      <c r="C97" s="48"/>
      <c r="D97" s="48"/>
      <c r="E97" s="48"/>
      <c r="F97" s="48"/>
      <c r="G97" s="48"/>
      <c r="H97" s="50"/>
      <c r="I97" s="50"/>
      <c r="J97" s="48"/>
      <c r="K97" s="48"/>
      <c r="L97" s="73"/>
      <c r="M97" s="48"/>
      <c r="N97" s="48"/>
      <c r="O97" s="50"/>
      <c r="P97" s="50"/>
      <c r="Q97" s="48"/>
      <c r="R97" s="50"/>
      <c r="S97" s="48"/>
      <c r="T97" s="48"/>
      <c r="U97" s="48"/>
      <c r="V97" s="48"/>
      <c r="W97" s="50"/>
      <c r="X97" s="48"/>
      <c r="Y97" s="48"/>
      <c r="Z97" s="48"/>
      <c r="AA97" s="48"/>
      <c r="AB97" s="48"/>
      <c r="AC97" s="41"/>
      <c r="AD97" s="41"/>
      <c r="AE97" s="48"/>
      <c r="AF97" s="48">
        <v>83500000</v>
      </c>
      <c r="AG97" s="73"/>
      <c r="AH97" s="14"/>
      <c r="AI97" s="17"/>
    </row>
    <row r="98" spans="1:35">
      <c r="A98" s="134" t="s">
        <v>197</v>
      </c>
      <c r="B98" s="135"/>
      <c r="C98" s="48"/>
      <c r="D98" s="48"/>
      <c r="E98" s="48"/>
      <c r="F98" s="48"/>
      <c r="G98" s="48"/>
      <c r="H98" s="50"/>
      <c r="I98" s="50"/>
      <c r="J98" s="48"/>
      <c r="K98" s="48"/>
      <c r="L98" s="73"/>
      <c r="M98" s="48"/>
      <c r="N98" s="48"/>
      <c r="O98" s="50"/>
      <c r="P98" s="50"/>
      <c r="Q98" s="48"/>
      <c r="R98" s="50"/>
      <c r="S98" s="48"/>
      <c r="T98" s="48"/>
      <c r="U98" s="48"/>
      <c r="V98" s="48"/>
      <c r="W98" s="50"/>
      <c r="X98" s="48"/>
      <c r="Y98" s="48"/>
      <c r="Z98" s="48"/>
      <c r="AA98" s="48"/>
      <c r="AB98" s="48"/>
      <c r="AC98" s="41"/>
      <c r="AD98" s="41"/>
      <c r="AE98" s="48"/>
      <c r="AF98" s="48">
        <v>83500000</v>
      </c>
      <c r="AG98" s="73"/>
      <c r="AH98" s="14"/>
      <c r="AI98" s="17"/>
    </row>
    <row r="99" spans="1:35">
      <c r="A99" s="134" t="s">
        <v>28</v>
      </c>
      <c r="B99" s="135"/>
      <c r="C99" s="48"/>
      <c r="D99" s="50"/>
      <c r="E99" s="50"/>
      <c r="F99" s="50"/>
      <c r="G99" s="50"/>
      <c r="H99" s="48"/>
      <c r="I99" s="48"/>
      <c r="J99" s="50"/>
      <c r="K99" s="50"/>
      <c r="L99" s="48"/>
      <c r="M99" s="50"/>
      <c r="N99" s="50"/>
      <c r="O99" s="50"/>
      <c r="P99" s="48"/>
      <c r="Q99" s="50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1"/>
      <c r="AF99" s="41"/>
      <c r="AG99" s="48"/>
      <c r="AH99" s="14">
        <f>SUM(C99:AG99)</f>
        <v>0</v>
      </c>
      <c r="AI99" s="17"/>
    </row>
    <row r="100" spans="1:35">
      <c r="A100" s="15" t="s">
        <v>29</v>
      </c>
      <c r="B100" s="11"/>
      <c r="C100" s="48"/>
      <c r="D100" s="41"/>
      <c r="E100" s="41"/>
      <c r="F100" s="41"/>
      <c r="G100" s="41"/>
      <c r="H100" s="48"/>
      <c r="I100" s="48"/>
      <c r="J100" s="41"/>
      <c r="K100" s="41"/>
      <c r="L100" s="48"/>
      <c r="M100" s="41"/>
      <c r="N100" s="41"/>
      <c r="O100" s="41"/>
      <c r="P100" s="48"/>
      <c r="Q100" s="41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1"/>
      <c r="AF100" s="41"/>
      <c r="AG100" s="48"/>
      <c r="AH100" s="14">
        <f>SUM(C100:AG100)</f>
        <v>0</v>
      </c>
      <c r="AI100" s="17"/>
    </row>
    <row r="101" spans="1:35">
      <c r="A101" s="15" t="s">
        <v>30</v>
      </c>
      <c r="B101" s="11"/>
      <c r="C101" s="48"/>
      <c r="D101" s="41"/>
      <c r="E101" s="41"/>
      <c r="F101" s="41"/>
      <c r="G101" s="41"/>
      <c r="H101" s="48"/>
      <c r="I101" s="48"/>
      <c r="J101" s="41"/>
      <c r="K101" s="41"/>
      <c r="L101" s="48"/>
      <c r="M101" s="41"/>
      <c r="N101" s="41"/>
      <c r="O101" s="41"/>
      <c r="P101" s="48"/>
      <c r="Q101" s="41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1"/>
      <c r="AF101" s="41"/>
      <c r="AG101" s="48"/>
      <c r="AH101" s="14">
        <f>SUM(C101:AG101)</f>
        <v>0</v>
      </c>
      <c r="AI101" s="17"/>
    </row>
    <row r="102" spans="1:35">
      <c r="A102" s="15" t="s">
        <v>292</v>
      </c>
      <c r="B102" s="11"/>
      <c r="C102" s="48"/>
      <c r="D102" s="41"/>
      <c r="E102" s="41"/>
      <c r="F102" s="41"/>
      <c r="G102" s="41"/>
      <c r="H102" s="48"/>
      <c r="I102" s="48"/>
      <c r="J102" s="41"/>
      <c r="K102" s="41"/>
      <c r="L102" s="48"/>
      <c r="M102" s="41"/>
      <c r="N102" s="41"/>
      <c r="O102" s="41"/>
      <c r="P102" s="48"/>
      <c r="Q102" s="41"/>
      <c r="R102" s="48"/>
      <c r="S102" s="48"/>
      <c r="T102" s="48"/>
      <c r="U102" s="73"/>
      <c r="V102" s="48"/>
      <c r="W102" s="48"/>
      <c r="X102" s="73"/>
      <c r="Y102" s="73"/>
      <c r="Z102" s="73"/>
      <c r="AA102" s="73"/>
      <c r="AB102" s="48"/>
      <c r="AC102" s="48"/>
      <c r="AD102" s="48"/>
      <c r="AE102" s="41"/>
      <c r="AF102" s="90">
        <v>181439500</v>
      </c>
      <c r="AG102" s="48"/>
      <c r="AH102" s="14">
        <f>SUM(C102:AG102)</f>
        <v>181439500</v>
      </c>
      <c r="AI102" s="17"/>
    </row>
    <row r="103" spans="1:35">
      <c r="A103" s="32" t="s">
        <v>46</v>
      </c>
      <c r="B103" s="11"/>
      <c r="C103" s="73">
        <v>106250000</v>
      </c>
      <c r="D103" s="41"/>
      <c r="E103" s="42"/>
      <c r="F103" s="42"/>
      <c r="G103" s="42"/>
      <c r="H103" s="48"/>
      <c r="I103" s="73"/>
      <c r="J103" s="90"/>
      <c r="K103" s="90"/>
      <c r="L103" s="87"/>
      <c r="M103" s="90"/>
      <c r="N103" s="90"/>
      <c r="O103" s="41"/>
      <c r="P103" s="48"/>
      <c r="S103" s="72">
        <f>4860000+24400000</f>
        <v>29260000</v>
      </c>
      <c r="T103" s="73"/>
      <c r="U103" s="73"/>
      <c r="V103" s="48"/>
      <c r="W103" s="48"/>
      <c r="X103" s="73">
        <f>475135857+475135857+475135857</f>
        <v>1425407571</v>
      </c>
      <c r="Y103" s="73"/>
      <c r="Z103" s="73"/>
      <c r="AA103" s="73">
        <v>22322222</v>
      </c>
      <c r="AB103" s="94"/>
      <c r="AC103" s="48"/>
      <c r="AD103" s="42"/>
      <c r="AE103" s="73"/>
      <c r="AF103" s="73">
        <v>78343333</v>
      </c>
      <c r="AG103" s="48"/>
      <c r="AH103" s="14">
        <f>SUM(C103:AG103)</f>
        <v>1661583126</v>
      </c>
      <c r="AI103" s="17"/>
    </row>
    <row r="104" spans="1:35">
      <c r="A104" s="32" t="s">
        <v>47</v>
      </c>
      <c r="B104" s="11"/>
      <c r="C104" s="73"/>
      <c r="D104" s="41"/>
      <c r="E104" s="42"/>
      <c r="F104" s="42"/>
      <c r="G104" s="42"/>
      <c r="H104" s="48"/>
      <c r="I104" s="73"/>
      <c r="J104" s="90"/>
      <c r="K104" s="90"/>
      <c r="L104" s="87"/>
      <c r="M104" s="90"/>
      <c r="N104" s="90"/>
      <c r="O104" s="41"/>
      <c r="P104" s="48"/>
      <c r="S104" s="72"/>
      <c r="T104" s="73"/>
      <c r="U104" s="73"/>
      <c r="V104" s="48"/>
      <c r="W104" s="48"/>
      <c r="X104" s="73">
        <f>31683334+5363889</f>
        <v>37047223</v>
      </c>
      <c r="Y104" s="73"/>
      <c r="Z104" s="73"/>
      <c r="AA104" s="73">
        <v>35000000</v>
      </c>
      <c r="AB104" s="94"/>
      <c r="AC104" s="48"/>
      <c r="AD104" s="42"/>
      <c r="AE104" s="73"/>
      <c r="AF104" s="73"/>
      <c r="AG104" s="48"/>
      <c r="AH104" s="14"/>
      <c r="AI104" s="17"/>
    </row>
    <row r="105" spans="1:35">
      <c r="A105" s="32" t="s">
        <v>213</v>
      </c>
      <c r="B105" s="11"/>
      <c r="C105" s="73">
        <v>350000000</v>
      </c>
      <c r="D105" s="41"/>
      <c r="E105" s="41"/>
      <c r="F105" s="13"/>
      <c r="G105" s="87"/>
      <c r="H105" s="48"/>
      <c r="I105" s="73"/>
      <c r="J105" s="73">
        <v>500000000</v>
      </c>
      <c r="K105" s="73"/>
      <c r="L105" s="73"/>
      <c r="M105" s="73">
        <v>350000000</v>
      </c>
      <c r="N105" s="73"/>
      <c r="O105" s="41"/>
      <c r="P105" s="48"/>
      <c r="Q105" s="42">
        <v>250000000</v>
      </c>
      <c r="R105" s="48"/>
      <c r="S105" s="73"/>
      <c r="T105" s="73"/>
      <c r="U105" s="42">
        <v>2000000000</v>
      </c>
      <c r="V105" s="48"/>
      <c r="W105" s="48"/>
      <c r="X105" s="73">
        <v>500000000</v>
      </c>
      <c r="Y105" s="73"/>
      <c r="Z105" s="73"/>
      <c r="AA105" s="73"/>
      <c r="AB105" s="42">
        <v>1500000000</v>
      </c>
      <c r="AC105" s="73"/>
      <c r="AD105" s="73"/>
      <c r="AE105" s="73"/>
      <c r="AF105" s="73"/>
      <c r="AG105" s="48"/>
      <c r="AH105" s="14">
        <f>SUM(F105:AG105)</f>
        <v>5100000000</v>
      </c>
      <c r="AI105" s="17"/>
    </row>
    <row r="106" spans="1:35">
      <c r="A106" s="32" t="s">
        <v>119</v>
      </c>
      <c r="B106" s="11"/>
      <c r="C106" s="3"/>
      <c r="D106" s="78"/>
      <c r="E106" s="78"/>
      <c r="F106" s="41"/>
      <c r="G106" s="41"/>
      <c r="H106" s="41"/>
      <c r="I106" s="41"/>
      <c r="J106" s="78"/>
      <c r="K106" s="78"/>
      <c r="L106" s="41"/>
      <c r="M106" s="41"/>
      <c r="N106" s="41"/>
      <c r="O106" s="41"/>
      <c r="P106" s="41"/>
      <c r="R106" s="41"/>
      <c r="S106" s="90"/>
      <c r="T106" s="90"/>
      <c r="U106" s="90"/>
      <c r="V106" s="41"/>
      <c r="W106" s="41"/>
      <c r="X106" s="90"/>
      <c r="Y106" s="90"/>
      <c r="Z106" s="90"/>
      <c r="AA106" s="90"/>
      <c r="AB106" s="90"/>
      <c r="AC106" s="41"/>
      <c r="AD106" s="41"/>
      <c r="AE106" s="90"/>
      <c r="AF106" s="90">
        <v>2500000000</v>
      </c>
      <c r="AG106" s="48"/>
      <c r="AH106" s="14"/>
      <c r="AI106" s="17"/>
    </row>
    <row r="107" spans="1:35">
      <c r="A107" s="19" t="s">
        <v>32</v>
      </c>
      <c r="B107" s="137"/>
      <c r="C107" s="66">
        <f t="shared" ref="C107:AH107" si="1">SUM(C7:C106)</f>
        <v>456250000</v>
      </c>
      <c r="D107" s="66">
        <f t="shared" si="1"/>
        <v>0</v>
      </c>
      <c r="E107" s="66">
        <f t="shared" si="1"/>
        <v>0</v>
      </c>
      <c r="F107" s="66">
        <f t="shared" si="1"/>
        <v>282054970</v>
      </c>
      <c r="G107" s="66">
        <f t="shared" si="1"/>
        <v>70034568</v>
      </c>
      <c r="H107" s="66">
        <f t="shared" si="1"/>
        <v>0</v>
      </c>
      <c r="I107" s="66">
        <f t="shared" si="1"/>
        <v>0</v>
      </c>
      <c r="J107" s="66">
        <f t="shared" si="1"/>
        <v>518008013</v>
      </c>
      <c r="K107" s="66">
        <f t="shared" si="1"/>
        <v>11617793</v>
      </c>
      <c r="L107" s="66">
        <f t="shared" si="1"/>
        <v>0</v>
      </c>
      <c r="M107" s="66">
        <f t="shared" si="1"/>
        <v>2024681033</v>
      </c>
      <c r="N107" s="66">
        <f t="shared" si="1"/>
        <v>628016972</v>
      </c>
      <c r="O107" s="66">
        <f t="shared" si="1"/>
        <v>0</v>
      </c>
      <c r="P107" s="66">
        <f t="shared" si="1"/>
        <v>0</v>
      </c>
      <c r="Q107" s="66">
        <f t="shared" si="1"/>
        <v>666160034</v>
      </c>
      <c r="R107" s="66">
        <f t="shared" si="1"/>
        <v>0</v>
      </c>
      <c r="S107" s="66">
        <f t="shared" si="1"/>
        <v>192358816</v>
      </c>
      <c r="T107" s="66">
        <f t="shared" si="1"/>
        <v>0</v>
      </c>
      <c r="U107" s="66">
        <f t="shared" si="1"/>
        <v>4002144412</v>
      </c>
      <c r="V107" s="66">
        <f t="shared" si="1"/>
        <v>0</v>
      </c>
      <c r="W107" s="66">
        <f t="shared" si="1"/>
        <v>0</v>
      </c>
      <c r="X107" s="66">
        <f t="shared" si="1"/>
        <v>2046194729</v>
      </c>
      <c r="Y107" s="66">
        <f t="shared" si="1"/>
        <v>2152302794</v>
      </c>
      <c r="Z107" s="66">
        <f t="shared" si="1"/>
        <v>656329117</v>
      </c>
      <c r="AA107" s="66">
        <f t="shared" si="1"/>
        <v>474734932</v>
      </c>
      <c r="AB107" s="66">
        <f t="shared" si="1"/>
        <v>1500000000</v>
      </c>
      <c r="AC107" s="66">
        <f t="shared" si="1"/>
        <v>0</v>
      </c>
      <c r="AD107" s="66">
        <f t="shared" si="1"/>
        <v>0</v>
      </c>
      <c r="AE107" s="66">
        <f t="shared" si="1"/>
        <v>37183530</v>
      </c>
      <c r="AF107" s="66">
        <f>SUM(AF7:AF106)</f>
        <v>16053471589</v>
      </c>
      <c r="AG107" s="66">
        <f t="shared" si="1"/>
        <v>0</v>
      </c>
      <c r="AH107" s="21">
        <f t="shared" si="1"/>
        <v>12492179614</v>
      </c>
    </row>
    <row r="108" spans="1:35">
      <c r="A108" s="22"/>
      <c r="B108" s="11"/>
      <c r="C108" s="67"/>
      <c r="D108" s="67"/>
      <c r="E108" s="12"/>
      <c r="F108" s="12"/>
      <c r="G108" s="12"/>
      <c r="H108" s="12"/>
      <c r="I108" s="12"/>
      <c r="J108" s="67"/>
      <c r="K108" s="67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2"/>
      <c r="AD108" s="12"/>
      <c r="AE108" s="12"/>
      <c r="AF108" s="12"/>
      <c r="AG108" s="12"/>
      <c r="AH108" s="23"/>
      <c r="AI108" s="6"/>
    </row>
    <row r="109" spans="1:35">
      <c r="A109" s="24" t="s">
        <v>33</v>
      </c>
      <c r="B109" s="11"/>
      <c r="C109" s="67"/>
      <c r="D109" s="67"/>
      <c r="E109" s="12"/>
      <c r="F109" s="12"/>
      <c r="G109" s="12"/>
      <c r="H109" s="12"/>
      <c r="I109" s="12"/>
      <c r="J109" s="67"/>
      <c r="K109" s="67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67"/>
      <c r="AB109" s="67"/>
      <c r="AC109" s="12"/>
      <c r="AD109" s="12"/>
      <c r="AE109" s="12"/>
      <c r="AF109" s="12"/>
      <c r="AG109" s="12"/>
      <c r="AH109" s="23"/>
      <c r="AI109" s="6"/>
    </row>
    <row r="110" spans="1:35">
      <c r="A110" s="25" t="s">
        <v>34</v>
      </c>
      <c r="B110" s="26">
        <v>0</v>
      </c>
      <c r="C110" s="68"/>
      <c r="D110" s="67">
        <v>926244056</v>
      </c>
      <c r="E110" s="26"/>
      <c r="F110" s="26"/>
      <c r="G110" s="26"/>
      <c r="H110" s="26"/>
      <c r="I110" s="67"/>
      <c r="J110" s="67"/>
      <c r="K110" s="67"/>
      <c r="L110" s="26"/>
      <c r="M110" s="67"/>
      <c r="N110" s="67">
        <v>1695885269</v>
      </c>
      <c r="O110" s="54"/>
      <c r="P110" s="67"/>
      <c r="Q110" s="67"/>
      <c r="R110" s="67"/>
      <c r="S110" s="67">
        <v>1060940388</v>
      </c>
      <c r="T110" s="67"/>
      <c r="U110" s="110"/>
      <c r="V110" s="26"/>
      <c r="W110" s="26"/>
      <c r="X110" s="67"/>
      <c r="Y110" s="67">
        <v>590040077</v>
      </c>
      <c r="Z110" s="67"/>
      <c r="AA110" s="67">
        <v>1289178236</v>
      </c>
      <c r="AB110" s="67"/>
      <c r="AC110" s="26"/>
      <c r="AD110" s="67"/>
      <c r="AE110" s="67"/>
      <c r="AF110" s="68"/>
      <c r="AG110" s="26"/>
      <c r="AH110" s="23">
        <f>SUM(C110:AG110)</f>
        <v>5562288026</v>
      </c>
      <c r="AI110" s="17"/>
    </row>
    <row r="111" spans="1:35">
      <c r="A111" s="25" t="s">
        <v>198</v>
      </c>
      <c r="B111" s="26"/>
      <c r="C111" s="68"/>
      <c r="D111" s="67">
        <v>6715269</v>
      </c>
      <c r="E111" s="54"/>
      <c r="F111" s="26"/>
      <c r="G111" s="26"/>
      <c r="H111" s="26"/>
      <c r="I111" s="67"/>
      <c r="J111" s="67"/>
      <c r="K111" s="67"/>
      <c r="L111" s="26"/>
      <c r="M111" s="67"/>
      <c r="N111" s="67">
        <v>12719140</v>
      </c>
      <c r="O111" s="54"/>
      <c r="P111" s="67"/>
      <c r="Q111" s="67"/>
      <c r="R111" s="67"/>
      <c r="S111" s="67">
        <v>7426583</v>
      </c>
      <c r="T111" s="67"/>
      <c r="U111" s="110"/>
      <c r="V111" s="26"/>
      <c r="W111" s="26"/>
      <c r="X111" s="67"/>
      <c r="Y111" s="67">
        <v>4572811</v>
      </c>
      <c r="Z111" s="67"/>
      <c r="AA111" s="67">
        <v>9346542</v>
      </c>
      <c r="AB111" s="67"/>
      <c r="AC111" s="67"/>
      <c r="AD111" s="67"/>
      <c r="AE111" s="67"/>
      <c r="AF111" s="68"/>
      <c r="AG111" s="26"/>
      <c r="AH111" s="23"/>
      <c r="AI111" s="17"/>
    </row>
    <row r="112" spans="1:35">
      <c r="A112" s="25" t="s">
        <v>227</v>
      </c>
      <c r="B112" s="26"/>
      <c r="C112" s="68"/>
      <c r="D112" s="67">
        <v>621531259</v>
      </c>
      <c r="E112" s="54"/>
      <c r="F112" s="26"/>
      <c r="G112" s="26"/>
      <c r="H112" s="26"/>
      <c r="I112" s="67"/>
      <c r="J112" s="67"/>
      <c r="K112" s="67">
        <v>224453990</v>
      </c>
      <c r="L112" s="26"/>
      <c r="M112" s="67"/>
      <c r="N112" s="67">
        <v>798261760</v>
      </c>
      <c r="O112" s="54"/>
      <c r="P112" s="67"/>
      <c r="Q112" s="67">
        <v>235309965</v>
      </c>
      <c r="R112" s="67"/>
      <c r="S112" s="67">
        <v>2176131506</v>
      </c>
      <c r="T112" s="67"/>
      <c r="U112" s="110">
        <v>999824024</v>
      </c>
      <c r="V112" s="26"/>
      <c r="W112" s="67"/>
      <c r="X112" s="67"/>
      <c r="Y112" s="67">
        <v>1366021447</v>
      </c>
      <c r="Z112" s="67"/>
      <c r="AA112" s="67">
        <v>2910809491</v>
      </c>
      <c r="AB112" s="67"/>
      <c r="AC112" s="67"/>
      <c r="AD112" s="67"/>
      <c r="AE112" s="110">
        <v>1034325968</v>
      </c>
      <c r="AF112" s="68"/>
      <c r="AG112" s="26"/>
      <c r="AH112" s="23"/>
      <c r="AI112" s="17"/>
    </row>
    <row r="113" spans="1:37">
      <c r="A113" s="25" t="s">
        <v>212</v>
      </c>
      <c r="B113" s="26">
        <v>0</v>
      </c>
      <c r="C113" s="145"/>
      <c r="D113" s="13"/>
      <c r="E113" s="68"/>
      <c r="F113" s="67"/>
      <c r="G113" s="67"/>
      <c r="H113" s="13"/>
      <c r="I113" s="67"/>
      <c r="J113" s="13"/>
      <c r="K113" s="13"/>
      <c r="L113" s="67"/>
      <c r="M113" s="67"/>
      <c r="N113" s="67"/>
      <c r="O113" s="68"/>
      <c r="P113" s="67"/>
      <c r="Q113" s="42"/>
      <c r="R113" s="68"/>
      <c r="S113" s="67"/>
      <c r="T113" s="67"/>
      <c r="U113" s="110"/>
      <c r="V113" s="67"/>
      <c r="W113" s="26"/>
      <c r="X113" s="67"/>
      <c r="Z113" s="67"/>
      <c r="AA113" s="67"/>
      <c r="AB113" s="13"/>
      <c r="AC113" s="67"/>
      <c r="AD113" s="65"/>
      <c r="AE113" s="67"/>
      <c r="AF113" s="68"/>
      <c r="AG113" s="26"/>
      <c r="AH113" s="23">
        <f>SUM(C113:AG113)</f>
        <v>0</v>
      </c>
      <c r="AI113" s="17"/>
    </row>
    <row r="114" spans="1:37">
      <c r="A114" s="25" t="s">
        <v>210</v>
      </c>
      <c r="B114" s="26"/>
      <c r="C114" s="145"/>
      <c r="D114" s="13"/>
      <c r="E114" s="68" t="s">
        <v>89</v>
      </c>
      <c r="F114" s="67"/>
      <c r="G114" s="67"/>
      <c r="H114" s="13"/>
      <c r="I114" s="67"/>
      <c r="J114" s="13"/>
      <c r="K114" s="13"/>
      <c r="L114" s="67"/>
      <c r="M114" s="67"/>
      <c r="N114" s="67"/>
      <c r="O114" s="68"/>
      <c r="P114" s="67"/>
      <c r="Q114" s="42"/>
      <c r="R114" s="68"/>
      <c r="S114" s="67"/>
      <c r="T114" s="67"/>
      <c r="U114" s="110"/>
      <c r="V114" s="67"/>
      <c r="W114" s="26"/>
      <c r="X114" s="67"/>
      <c r="Y114" s="67"/>
      <c r="Z114" s="67"/>
      <c r="AA114" s="67"/>
      <c r="AB114" s="13"/>
      <c r="AC114" s="67"/>
      <c r="AD114" s="65"/>
      <c r="AE114" s="110"/>
      <c r="AF114" s="68"/>
      <c r="AG114" s="26"/>
      <c r="AH114" s="23"/>
      <c r="AI114" s="17"/>
    </row>
    <row r="115" spans="1:37">
      <c r="A115" s="25" t="s">
        <v>199</v>
      </c>
      <c r="B115" s="26"/>
      <c r="C115" s="145"/>
      <c r="D115" s="13">
        <v>3951285</v>
      </c>
      <c r="E115" s="68"/>
      <c r="F115" s="67"/>
      <c r="G115" s="67"/>
      <c r="H115" s="13"/>
      <c r="I115" s="67"/>
      <c r="J115" s="13"/>
      <c r="K115" s="13">
        <v>1482643</v>
      </c>
      <c r="L115" s="67"/>
      <c r="M115" s="67"/>
      <c r="N115" s="67">
        <v>5454789</v>
      </c>
      <c r="O115" s="68"/>
      <c r="P115" s="67"/>
      <c r="Q115" s="42">
        <v>1607951</v>
      </c>
      <c r="R115" s="68"/>
      <c r="S115" s="67">
        <v>15718538</v>
      </c>
      <c r="T115" s="67"/>
      <c r="U115" s="110">
        <v>6832131</v>
      </c>
      <c r="V115" s="67"/>
      <c r="W115" s="67"/>
      <c r="X115" s="67"/>
      <c r="Y115" s="67">
        <v>10121273</v>
      </c>
      <c r="Z115" s="67"/>
      <c r="AA115" s="67">
        <v>21798321</v>
      </c>
      <c r="AB115" s="13"/>
      <c r="AC115" s="67"/>
      <c r="AD115" s="65"/>
      <c r="AE115" s="110">
        <v>7208760</v>
      </c>
      <c r="AF115" s="68"/>
      <c r="AG115" s="26"/>
      <c r="AH115" s="23"/>
      <c r="AI115" s="17"/>
      <c r="AK115" s="3" t="s">
        <v>253</v>
      </c>
    </row>
    <row r="116" spans="1:37">
      <c r="A116" s="25" t="s">
        <v>211</v>
      </c>
      <c r="B116" s="26">
        <v>0</v>
      </c>
      <c r="C116" s="68"/>
      <c r="D116" s="68"/>
      <c r="E116" s="54"/>
      <c r="F116" s="67"/>
      <c r="G116" s="67"/>
      <c r="H116" s="26"/>
      <c r="I116" s="26"/>
      <c r="J116" s="67"/>
      <c r="K116" s="67"/>
      <c r="L116" s="67"/>
      <c r="M116" s="67"/>
      <c r="N116" s="67"/>
      <c r="O116" s="54"/>
      <c r="P116" s="26"/>
      <c r="Q116" s="67"/>
      <c r="R116" s="67"/>
      <c r="S116" s="67"/>
      <c r="T116" s="67"/>
      <c r="U116" s="69"/>
      <c r="V116" s="26"/>
      <c r="W116" s="26"/>
      <c r="X116" s="67"/>
      <c r="Y116" s="42"/>
      <c r="Z116" s="67"/>
      <c r="AA116" s="67"/>
      <c r="AB116" s="67"/>
      <c r="AC116" s="67"/>
      <c r="AD116" s="67"/>
      <c r="AE116" s="67"/>
      <c r="AF116" s="68"/>
      <c r="AG116" s="26"/>
      <c r="AH116" s="23">
        <f>SUM(C116:AG116)</f>
        <v>0</v>
      </c>
      <c r="AI116" s="17"/>
    </row>
    <row r="117" spans="1:37">
      <c r="A117" s="25" t="s">
        <v>228</v>
      </c>
      <c r="B117" s="26"/>
      <c r="C117" s="68"/>
      <c r="D117" s="68"/>
      <c r="E117" s="54"/>
      <c r="F117" s="67">
        <v>2126473493</v>
      </c>
      <c r="G117" s="67"/>
      <c r="H117" s="26"/>
      <c r="I117" s="26"/>
      <c r="J117" s="67"/>
      <c r="K117" s="67">
        <v>322682044</v>
      </c>
      <c r="L117" s="75"/>
      <c r="M117" s="67"/>
      <c r="N117" s="67"/>
      <c r="O117" s="54"/>
      <c r="P117" s="26"/>
      <c r="Q117" s="67">
        <v>1081906346</v>
      </c>
      <c r="R117" s="67"/>
      <c r="S117" s="67"/>
      <c r="T117" s="67"/>
      <c r="U117" s="69"/>
      <c r="V117" s="26"/>
      <c r="W117" s="67"/>
      <c r="X117" s="67"/>
      <c r="Y117" s="42"/>
      <c r="Z117" s="67"/>
      <c r="AA117" s="67">
        <v>257746330</v>
      </c>
      <c r="AB117" s="67"/>
      <c r="AC117" s="67"/>
      <c r="AD117" s="26"/>
      <c r="AE117" s="67">
        <v>947618308</v>
      </c>
      <c r="AF117" s="68"/>
      <c r="AG117" s="26"/>
      <c r="AH117" s="23"/>
      <c r="AI117" s="17"/>
    </row>
    <row r="118" spans="1:37">
      <c r="A118" s="25" t="s">
        <v>200</v>
      </c>
      <c r="B118" s="26"/>
      <c r="C118" s="68"/>
      <c r="D118" s="68"/>
      <c r="E118" s="54"/>
      <c r="F118" s="67">
        <v>15416933</v>
      </c>
      <c r="G118" s="67"/>
      <c r="H118" s="26"/>
      <c r="I118" s="26"/>
      <c r="J118" s="67"/>
      <c r="K118" s="67">
        <v>2339445</v>
      </c>
      <c r="L118" s="75"/>
      <c r="M118" s="67"/>
      <c r="N118" s="67"/>
      <c r="O118" s="54"/>
      <c r="P118" s="26"/>
      <c r="Q118" s="67">
        <v>7573344</v>
      </c>
      <c r="R118" s="67"/>
      <c r="S118" s="67"/>
      <c r="T118" s="67"/>
      <c r="U118" s="68"/>
      <c r="V118" s="26"/>
      <c r="W118" s="67"/>
      <c r="X118" s="67"/>
      <c r="Y118" s="42"/>
      <c r="Z118" s="67"/>
      <c r="AA118" s="67">
        <v>1997534</v>
      </c>
      <c r="AB118" s="67"/>
      <c r="AC118" s="67"/>
      <c r="AD118" s="26"/>
      <c r="AE118" s="67">
        <v>6633328</v>
      </c>
      <c r="AF118" s="68"/>
      <c r="AG118" s="26"/>
      <c r="AH118" s="23"/>
      <c r="AI118" s="17"/>
    </row>
    <row r="119" spans="1:37">
      <c r="A119" s="25" t="s">
        <v>36</v>
      </c>
      <c r="B119" s="26"/>
      <c r="C119" s="68"/>
      <c r="D119" s="68">
        <v>1117714511</v>
      </c>
      <c r="E119" s="54"/>
      <c r="F119" s="67"/>
      <c r="G119" s="67"/>
      <c r="H119" s="26"/>
      <c r="I119" s="26"/>
      <c r="J119" s="67"/>
      <c r="K119" s="67">
        <v>3744415079</v>
      </c>
      <c r="L119" s="75"/>
      <c r="M119" s="67"/>
      <c r="N119" s="67"/>
      <c r="O119" s="54"/>
      <c r="P119" s="26"/>
      <c r="Q119" s="67">
        <v>1143112640</v>
      </c>
      <c r="R119" s="67"/>
      <c r="S119" s="67"/>
      <c r="T119" s="67"/>
      <c r="U119" s="68"/>
      <c r="V119" s="26"/>
      <c r="W119" s="67"/>
      <c r="X119" s="67"/>
      <c r="Y119" s="42"/>
      <c r="Z119" s="67"/>
      <c r="AA119" s="67"/>
      <c r="AB119" s="67"/>
      <c r="AC119" s="67"/>
      <c r="AD119" s="26"/>
      <c r="AE119" s="67">
        <v>1909547376</v>
      </c>
      <c r="AF119" s="68"/>
      <c r="AG119" s="26"/>
      <c r="AH119" s="23"/>
      <c r="AI119" s="17"/>
    </row>
    <row r="120" spans="1:37">
      <c r="A120" s="25" t="s">
        <v>242</v>
      </c>
      <c r="B120" s="26"/>
      <c r="C120" s="68"/>
      <c r="D120" s="68">
        <v>5433334</v>
      </c>
      <c r="E120" s="54"/>
      <c r="F120" s="67"/>
      <c r="G120" s="67"/>
      <c r="H120" s="26"/>
      <c r="I120" s="26"/>
      <c r="J120" s="67"/>
      <c r="K120" s="67">
        <v>24572724</v>
      </c>
      <c r="L120" s="75"/>
      <c r="M120" s="67"/>
      <c r="N120" s="67"/>
      <c r="O120" s="54"/>
      <c r="P120" s="26"/>
      <c r="Q120" s="67">
        <v>8057356</v>
      </c>
      <c r="R120" s="67"/>
      <c r="S120" s="67"/>
      <c r="T120" s="67"/>
      <c r="U120" s="68"/>
      <c r="V120" s="26"/>
      <c r="W120" s="67"/>
      <c r="X120" s="67"/>
      <c r="Y120" s="42"/>
      <c r="Z120" s="67"/>
      <c r="AA120" s="67"/>
      <c r="AB120" s="67"/>
      <c r="AC120" s="26"/>
      <c r="AD120" s="26"/>
      <c r="AE120" s="67">
        <v>13923783</v>
      </c>
      <c r="AF120" s="68"/>
      <c r="AG120" s="26"/>
      <c r="AH120" s="23"/>
      <c r="AI120" s="17"/>
    </row>
    <row r="121" spans="1:37">
      <c r="A121" s="11" t="s">
        <v>53</v>
      </c>
      <c r="B121" s="26">
        <v>0</v>
      </c>
      <c r="C121" s="68"/>
      <c r="D121" s="65"/>
      <c r="E121" s="68"/>
      <c r="F121" s="67"/>
      <c r="G121" s="67">
        <v>884182074</v>
      </c>
      <c r="H121" s="67"/>
      <c r="I121" s="26"/>
      <c r="J121" s="67">
        <v>1023481078</v>
      </c>
      <c r="K121" s="67"/>
      <c r="L121" s="75"/>
      <c r="M121" s="67"/>
      <c r="N121" s="65">
        <v>3769288030</v>
      </c>
      <c r="O121" s="42"/>
      <c r="P121" s="42"/>
      <c r="Q121" s="67">
        <v>2068312309</v>
      </c>
      <c r="R121" s="67"/>
      <c r="T121" s="67">
        <v>2570406740</v>
      </c>
      <c r="U121" s="42"/>
      <c r="V121" s="41"/>
      <c r="W121" s="67"/>
      <c r="X121" s="42">
        <v>2448492306</v>
      </c>
      <c r="Y121" s="67"/>
      <c r="Z121" s="67"/>
      <c r="AA121" s="67"/>
      <c r="AB121" s="13"/>
      <c r="AC121" s="67"/>
      <c r="AD121" s="67"/>
      <c r="AE121" s="67"/>
      <c r="AF121" s="68"/>
      <c r="AG121" s="67"/>
      <c r="AH121" s="23">
        <f>SUM(C121:AG121)</f>
        <v>12764162537</v>
      </c>
      <c r="AI121" s="17"/>
    </row>
    <row r="122" spans="1:37">
      <c r="A122" s="11" t="s">
        <v>54</v>
      </c>
      <c r="B122" s="26"/>
      <c r="C122" s="68"/>
      <c r="D122" s="68"/>
      <c r="E122" s="42"/>
      <c r="F122" s="67"/>
      <c r="G122" s="67"/>
      <c r="H122" s="26"/>
      <c r="I122" s="26"/>
      <c r="J122" s="67"/>
      <c r="K122" s="67"/>
      <c r="L122" s="75"/>
      <c r="M122" s="67"/>
      <c r="N122" s="67"/>
      <c r="O122" s="68"/>
      <c r="P122" s="42"/>
      <c r="Q122" s="67"/>
      <c r="R122" s="67"/>
      <c r="S122" s="67"/>
      <c r="T122" s="67">
        <v>2541612562</v>
      </c>
      <c r="U122" s="68"/>
      <c r="V122" s="41"/>
      <c r="W122" s="65"/>
      <c r="X122" s="41"/>
      <c r="Y122" s="67"/>
      <c r="Z122" s="65"/>
      <c r="AA122" s="67"/>
      <c r="AB122" s="67"/>
      <c r="AC122" s="26"/>
      <c r="AD122" s="67"/>
      <c r="AE122" s="67"/>
      <c r="AF122" s="68"/>
      <c r="AG122" s="26"/>
      <c r="AH122" s="23">
        <f>SUM(C122:AG122)</f>
        <v>2541612562</v>
      </c>
      <c r="AI122" s="17">
        <v>1</v>
      </c>
    </row>
    <row r="123" spans="1:37">
      <c r="A123" s="11" t="s">
        <v>203</v>
      </c>
      <c r="B123" s="26"/>
      <c r="C123" s="68"/>
      <c r="D123" s="68"/>
      <c r="E123" s="42"/>
      <c r="F123" s="67"/>
      <c r="G123" s="67"/>
      <c r="H123" s="26"/>
      <c r="I123" s="26"/>
      <c r="J123" s="67"/>
      <c r="K123" s="67"/>
      <c r="L123" s="75"/>
      <c r="M123" s="67">
        <v>125731139</v>
      </c>
      <c r="N123" s="67"/>
      <c r="O123" s="68"/>
      <c r="P123" s="42"/>
      <c r="Q123" s="67"/>
      <c r="R123" s="67"/>
      <c r="S123" s="67"/>
      <c r="T123" s="67"/>
      <c r="U123" s="68"/>
      <c r="V123" s="41"/>
      <c r="W123" s="65"/>
      <c r="X123" s="41"/>
      <c r="Y123" s="67"/>
      <c r="Z123" s="65"/>
      <c r="AA123" s="67"/>
      <c r="AB123" s="67"/>
      <c r="AC123" s="26"/>
      <c r="AD123" s="67"/>
      <c r="AE123" s="67"/>
      <c r="AF123" s="68"/>
      <c r="AG123" s="26"/>
      <c r="AH123" s="23"/>
      <c r="AI123" s="17"/>
    </row>
    <row r="124" spans="1:37">
      <c r="A124" s="11" t="s">
        <v>203</v>
      </c>
      <c r="B124" s="26"/>
      <c r="C124" s="68"/>
      <c r="D124" s="68"/>
      <c r="E124" s="42"/>
      <c r="F124" s="67"/>
      <c r="G124" s="67"/>
      <c r="H124" s="26"/>
      <c r="I124" s="26"/>
      <c r="J124" s="67"/>
      <c r="K124" s="67"/>
      <c r="L124" s="75"/>
      <c r="M124" s="67"/>
      <c r="N124" s="67"/>
      <c r="O124" s="68"/>
      <c r="P124" s="42"/>
      <c r="Q124" s="67"/>
      <c r="R124" s="67"/>
      <c r="S124" s="67"/>
      <c r="T124" s="67"/>
      <c r="U124" s="68"/>
      <c r="V124" s="41"/>
      <c r="W124" s="65"/>
      <c r="X124" s="41"/>
      <c r="Y124" s="67"/>
      <c r="Z124" s="65"/>
      <c r="AA124" s="67"/>
      <c r="AB124" s="67"/>
      <c r="AC124" s="26"/>
      <c r="AD124" s="67"/>
      <c r="AE124" s="67"/>
      <c r="AF124" s="68"/>
      <c r="AG124" s="26"/>
      <c r="AH124" s="23"/>
      <c r="AI124" s="17"/>
    </row>
    <row r="125" spans="1:37">
      <c r="A125" s="11" t="s">
        <v>37</v>
      </c>
      <c r="B125" s="26">
        <v>0</v>
      </c>
      <c r="C125" s="65"/>
      <c r="D125" s="67">
        <v>595783238</v>
      </c>
      <c r="E125" s="42">
        <v>1246435573</v>
      </c>
      <c r="F125" s="13"/>
      <c r="G125" s="65">
        <v>595513991</v>
      </c>
      <c r="H125" s="67"/>
      <c r="I125" s="41"/>
      <c r="J125" s="67">
        <v>534777571</v>
      </c>
      <c r="K125" s="67"/>
      <c r="L125" s="75"/>
      <c r="M125" s="67"/>
      <c r="N125" s="67">
        <v>1510945461</v>
      </c>
      <c r="O125" s="68"/>
      <c r="P125" s="42"/>
      <c r="Q125" s="67"/>
      <c r="R125" s="67"/>
      <c r="S125" s="67">
        <v>594893121</v>
      </c>
      <c r="T125" s="67"/>
      <c r="U125" s="42"/>
      <c r="V125" s="41"/>
      <c r="W125" s="67"/>
      <c r="X125" s="42"/>
      <c r="Y125" s="65"/>
      <c r="Z125" s="67"/>
      <c r="AA125" s="67"/>
      <c r="AB125" s="94"/>
      <c r="AC125" s="67"/>
      <c r="AD125" s="67"/>
      <c r="AE125" s="41"/>
      <c r="AF125" s="42">
        <v>645290952</v>
      </c>
      <c r="AG125" s="67"/>
      <c r="AH125" s="23">
        <f>SUM(D125:AG125)</f>
        <v>5723639907</v>
      </c>
      <c r="AI125" s="17"/>
    </row>
    <row r="126" spans="1:37">
      <c r="A126" s="11" t="s">
        <v>38</v>
      </c>
      <c r="B126" s="26">
        <v>0</v>
      </c>
      <c r="C126" s="42"/>
      <c r="D126" s="42">
        <v>773290667</v>
      </c>
      <c r="E126" s="42"/>
      <c r="F126" s="67"/>
      <c r="G126" s="67"/>
      <c r="H126" s="26"/>
      <c r="I126" s="26"/>
      <c r="J126" s="67"/>
      <c r="K126" s="65"/>
      <c r="L126" s="75"/>
      <c r="M126" s="67"/>
      <c r="N126" s="65"/>
      <c r="O126" s="65"/>
      <c r="P126" s="68"/>
      <c r="Q126" s="78"/>
      <c r="R126" s="42"/>
      <c r="S126" s="67">
        <v>114345507</v>
      </c>
      <c r="T126" s="41"/>
      <c r="U126" s="68"/>
      <c r="V126" s="41"/>
      <c r="W126" s="65"/>
      <c r="X126" s="41"/>
      <c r="Y126" s="65"/>
      <c r="Z126" s="78"/>
      <c r="AA126" s="67"/>
      <c r="AB126" s="94"/>
      <c r="AC126" s="67"/>
      <c r="AD126" s="67"/>
      <c r="AE126" s="67"/>
      <c r="AF126" s="42">
        <v>859419041</v>
      </c>
      <c r="AG126" s="41"/>
      <c r="AH126" s="23">
        <f>SUM(C126:AG126)</f>
        <v>1747055215</v>
      </c>
      <c r="AI126" s="17"/>
    </row>
    <row r="127" spans="1:37">
      <c r="A127" s="11" t="s">
        <v>201</v>
      </c>
      <c r="B127" s="26"/>
      <c r="C127" s="42">
        <v>67616443</v>
      </c>
      <c r="D127" s="41" t="s">
        <v>89</v>
      </c>
      <c r="E127" s="42"/>
      <c r="F127" s="67"/>
      <c r="G127" s="67"/>
      <c r="H127" s="26"/>
      <c r="I127" s="26"/>
      <c r="J127" s="67"/>
      <c r="K127" s="65"/>
      <c r="L127" s="67"/>
      <c r="M127" s="67"/>
      <c r="N127" s="78"/>
      <c r="O127" s="65"/>
      <c r="P127" s="68"/>
      <c r="Q127" s="78"/>
      <c r="R127" s="42"/>
      <c r="S127" s="67"/>
      <c r="T127" s="41"/>
      <c r="U127" s="68"/>
      <c r="V127" s="41"/>
      <c r="W127" s="65"/>
      <c r="X127" s="42"/>
      <c r="Y127" s="65"/>
      <c r="Z127" s="78"/>
      <c r="AA127" s="67"/>
      <c r="AB127" s="94"/>
      <c r="AC127" s="67"/>
      <c r="AD127" s="67"/>
      <c r="AE127" s="68"/>
      <c r="AF127" s="42"/>
      <c r="AG127" s="41"/>
      <c r="AH127" s="23"/>
      <c r="AI127" s="17"/>
    </row>
    <row r="128" spans="1:37" ht="12" customHeight="1">
      <c r="A128" s="11" t="s">
        <v>175</v>
      </c>
      <c r="B128" s="26"/>
      <c r="C128" s="72">
        <v>1503164520</v>
      </c>
      <c r="D128" s="67"/>
      <c r="E128" s="42">
        <v>1456011102</v>
      </c>
      <c r="F128" s="67"/>
      <c r="G128" s="67">
        <v>1317056183</v>
      </c>
      <c r="H128" s="67"/>
      <c r="I128" s="67"/>
      <c r="J128" s="65">
        <v>742643982</v>
      </c>
      <c r="K128" s="67"/>
      <c r="L128" s="41"/>
      <c r="M128" s="67"/>
      <c r="N128" s="65">
        <v>713099650</v>
      </c>
      <c r="O128" s="65"/>
      <c r="Q128" s="68">
        <v>746393408</v>
      </c>
      <c r="R128" s="42"/>
      <c r="S128" s="67">
        <v>1455946607</v>
      </c>
      <c r="T128" s="41"/>
      <c r="U128" s="68">
        <v>1121057109</v>
      </c>
      <c r="V128" s="41"/>
      <c r="W128" s="65"/>
      <c r="X128" s="42">
        <v>1488368200</v>
      </c>
      <c r="Y128" s="65"/>
      <c r="Z128" s="78"/>
      <c r="AA128" s="67"/>
      <c r="AB128" s="94">
        <v>2630581613</v>
      </c>
      <c r="AC128" s="67"/>
      <c r="AD128" s="67"/>
      <c r="AE128" s="42">
        <v>1488542395</v>
      </c>
      <c r="AF128" s="42">
        <v>361916518</v>
      </c>
      <c r="AG128" s="41"/>
      <c r="AH128" s="23"/>
      <c r="AI128" s="17"/>
    </row>
    <row r="129" spans="1:35">
      <c r="A129" s="11" t="s">
        <v>176</v>
      </c>
      <c r="B129" s="26">
        <v>0</v>
      </c>
      <c r="C129" s="68">
        <v>741108255</v>
      </c>
      <c r="D129" s="67"/>
      <c r="E129" s="42"/>
      <c r="F129" s="67"/>
      <c r="G129" s="67"/>
      <c r="H129" s="67"/>
      <c r="I129" s="67"/>
      <c r="J129" s="65">
        <v>750485535</v>
      </c>
      <c r="K129" s="65"/>
      <c r="L129" s="67"/>
      <c r="M129" s="67"/>
      <c r="N129" s="67">
        <v>753047441</v>
      </c>
      <c r="O129" s="65"/>
      <c r="P129" s="68"/>
      <c r="Q129" s="67"/>
      <c r="R129" s="110"/>
      <c r="S129" s="67"/>
      <c r="T129" s="65"/>
      <c r="U129" s="42"/>
      <c r="V129" s="67"/>
      <c r="W129" s="67"/>
      <c r="X129" s="42"/>
      <c r="Y129" s="65"/>
      <c r="Z129" s="67"/>
      <c r="AA129" s="67"/>
      <c r="AB129" s="94"/>
      <c r="AC129" s="67"/>
      <c r="AD129" s="67"/>
      <c r="AE129" s="68">
        <v>1840509114</v>
      </c>
      <c r="AF129" s="42"/>
      <c r="AG129" s="67"/>
      <c r="AH129" s="23">
        <f>SUM(C129:AG129)</f>
        <v>4085150345</v>
      </c>
      <c r="AI129" s="17"/>
    </row>
    <row r="130" spans="1:35">
      <c r="A130" s="11" t="s">
        <v>202</v>
      </c>
      <c r="B130" s="26"/>
      <c r="C130" s="68">
        <v>123497578</v>
      </c>
      <c r="D130" s="67"/>
      <c r="E130" s="42"/>
      <c r="F130" s="67"/>
      <c r="G130" s="67"/>
      <c r="H130" s="67"/>
      <c r="I130" s="67"/>
      <c r="J130" s="65"/>
      <c r="K130" s="65"/>
      <c r="L130" s="67"/>
      <c r="M130" s="67"/>
      <c r="N130" s="67"/>
      <c r="O130" s="65"/>
      <c r="P130" s="68"/>
      <c r="Q130" s="67"/>
      <c r="R130" s="110"/>
      <c r="S130" s="67"/>
      <c r="T130" s="65"/>
      <c r="U130" s="42"/>
      <c r="V130" s="67"/>
      <c r="W130" s="67"/>
      <c r="X130" s="42"/>
      <c r="Y130" s="65"/>
      <c r="Z130" s="67"/>
      <c r="AA130" s="67"/>
      <c r="AB130" s="94"/>
      <c r="AC130" s="67"/>
      <c r="AD130" s="67"/>
      <c r="AE130" s="110"/>
      <c r="AF130" s="42"/>
      <c r="AG130" s="67"/>
      <c r="AH130" s="23"/>
      <c r="AI130" s="17"/>
    </row>
    <row r="131" spans="1:35">
      <c r="A131" s="27" t="s">
        <v>41</v>
      </c>
      <c r="B131" s="28"/>
      <c r="C131" s="70">
        <f>SUM(C110:C130)</f>
        <v>2435386796</v>
      </c>
      <c r="D131" s="70">
        <f t="shared" ref="D131:AG131" si="2">SUM(D110:D130)</f>
        <v>4050663619</v>
      </c>
      <c r="E131" s="70">
        <f t="shared" si="2"/>
        <v>2702446675</v>
      </c>
      <c r="F131" s="70">
        <f t="shared" si="2"/>
        <v>2141890426</v>
      </c>
      <c r="G131" s="70">
        <f>SUM(G110:G130)</f>
        <v>2796752248</v>
      </c>
      <c r="H131" s="70">
        <f t="shared" si="2"/>
        <v>0</v>
      </c>
      <c r="I131" s="70">
        <f t="shared" si="2"/>
        <v>0</v>
      </c>
      <c r="J131" s="70">
        <f>SUM(J110:J130)</f>
        <v>3051388166</v>
      </c>
      <c r="K131" s="70">
        <f>SUM(K110:K130)</f>
        <v>4319945925</v>
      </c>
      <c r="L131" s="70">
        <f t="shared" si="2"/>
        <v>0</v>
      </c>
      <c r="M131" s="70">
        <f>SUM(M110:M130)</f>
        <v>125731139</v>
      </c>
      <c r="N131" s="70">
        <f>SUM(N110:N130)</f>
        <v>9258701540</v>
      </c>
      <c r="O131" s="70">
        <f t="shared" si="2"/>
        <v>0</v>
      </c>
      <c r="P131" s="70">
        <f>SUM(P110:P130)</f>
        <v>0</v>
      </c>
      <c r="Q131" s="70">
        <f>SUM(Q110:Q130)</f>
        <v>5292273319</v>
      </c>
      <c r="R131" s="70">
        <f t="shared" si="2"/>
        <v>0</v>
      </c>
      <c r="S131" s="70">
        <f t="shared" si="2"/>
        <v>5425402250</v>
      </c>
      <c r="T131" s="70">
        <f t="shared" si="2"/>
        <v>5112019302</v>
      </c>
      <c r="U131" s="70">
        <f>SUM(U110:U130)</f>
        <v>2127713264</v>
      </c>
      <c r="V131" s="70">
        <f t="shared" si="2"/>
        <v>0</v>
      </c>
      <c r="W131" s="70">
        <f t="shared" si="2"/>
        <v>0</v>
      </c>
      <c r="X131" s="70">
        <f t="shared" si="2"/>
        <v>3936860506</v>
      </c>
      <c r="Y131" s="70">
        <f t="shared" si="2"/>
        <v>1970755608</v>
      </c>
      <c r="Z131" s="70">
        <f>SUM(Z110:Z130)</f>
        <v>0</v>
      </c>
      <c r="AA131" s="70">
        <f t="shared" si="2"/>
        <v>4490876454</v>
      </c>
      <c r="AB131" s="70">
        <f t="shared" si="2"/>
        <v>2630581613</v>
      </c>
      <c r="AC131" s="70">
        <f t="shared" si="2"/>
        <v>0</v>
      </c>
      <c r="AD131" s="70">
        <f t="shared" si="2"/>
        <v>0</v>
      </c>
      <c r="AE131" s="70">
        <f>SUM(AE110:AE130)</f>
        <v>7248309032</v>
      </c>
      <c r="AF131" s="70">
        <f t="shared" si="2"/>
        <v>1866626511</v>
      </c>
      <c r="AG131" s="70">
        <f t="shared" si="2"/>
        <v>0</v>
      </c>
      <c r="AH131" s="30">
        <f>SUM(AH110:AH129)</f>
        <v>32423908592</v>
      </c>
      <c r="AI131" s="6"/>
    </row>
    <row r="132" spans="1:35">
      <c r="A132" s="387" t="s">
        <v>42</v>
      </c>
      <c r="B132" s="388"/>
      <c r="C132" s="71">
        <f t="shared" ref="C132:AG132" si="3">C107+C131</f>
        <v>2891636796</v>
      </c>
      <c r="D132" s="71">
        <f t="shared" si="3"/>
        <v>4050663619</v>
      </c>
      <c r="E132" s="31">
        <f t="shared" si="3"/>
        <v>2702446675</v>
      </c>
      <c r="F132" s="31">
        <f t="shared" si="3"/>
        <v>2423945396</v>
      </c>
      <c r="G132" s="31">
        <f t="shared" si="3"/>
        <v>2866786816</v>
      </c>
      <c r="H132" s="31">
        <f t="shared" si="3"/>
        <v>0</v>
      </c>
      <c r="I132" s="31">
        <f t="shared" si="3"/>
        <v>0</v>
      </c>
      <c r="J132" s="71">
        <f t="shared" si="3"/>
        <v>3569396179</v>
      </c>
      <c r="K132" s="71">
        <f t="shared" si="3"/>
        <v>4331563718</v>
      </c>
      <c r="L132" s="31">
        <f t="shared" si="3"/>
        <v>0</v>
      </c>
      <c r="M132" s="31">
        <f t="shared" si="3"/>
        <v>2150412172</v>
      </c>
      <c r="N132" s="31">
        <f t="shared" si="3"/>
        <v>9886718512</v>
      </c>
      <c r="O132" s="31">
        <f t="shared" si="3"/>
        <v>0</v>
      </c>
      <c r="P132" s="31">
        <f t="shared" si="3"/>
        <v>0</v>
      </c>
      <c r="Q132" s="31">
        <f t="shared" si="3"/>
        <v>5958433353</v>
      </c>
      <c r="R132" s="31">
        <f t="shared" si="3"/>
        <v>0</v>
      </c>
      <c r="S132" s="31">
        <f t="shared" si="3"/>
        <v>5617761066</v>
      </c>
      <c r="T132" s="31">
        <f t="shared" si="3"/>
        <v>5112019302</v>
      </c>
      <c r="U132" s="31">
        <f t="shared" si="3"/>
        <v>6129857676</v>
      </c>
      <c r="V132" s="31">
        <f t="shared" si="3"/>
        <v>0</v>
      </c>
      <c r="W132" s="31">
        <f t="shared" si="3"/>
        <v>0</v>
      </c>
      <c r="X132" s="31">
        <f t="shared" si="3"/>
        <v>5983055235</v>
      </c>
      <c r="Y132" s="31">
        <f t="shared" si="3"/>
        <v>4123058402</v>
      </c>
      <c r="Z132" s="31">
        <f t="shared" si="3"/>
        <v>656329117</v>
      </c>
      <c r="AA132" s="31">
        <f t="shared" si="3"/>
        <v>4965611386</v>
      </c>
      <c r="AB132" s="31">
        <f t="shared" si="3"/>
        <v>4130581613</v>
      </c>
      <c r="AC132" s="31">
        <f t="shared" si="3"/>
        <v>0</v>
      </c>
      <c r="AD132" s="31">
        <f t="shared" si="3"/>
        <v>0</v>
      </c>
      <c r="AE132" s="31">
        <f t="shared" si="3"/>
        <v>7285492562</v>
      </c>
      <c r="AF132" s="31">
        <f t="shared" si="3"/>
        <v>17920098100</v>
      </c>
      <c r="AG132" s="31">
        <f t="shared" si="3"/>
        <v>0</v>
      </c>
      <c r="AH132" s="31">
        <f>SUM(C132:AG132)</f>
        <v>102755867695</v>
      </c>
    </row>
    <row r="134" spans="1:35">
      <c r="A134" s="3" t="s">
        <v>50</v>
      </c>
      <c r="C134" s="6">
        <v>8272473780</v>
      </c>
      <c r="D134" s="72">
        <v>8622441279</v>
      </c>
      <c r="E134" s="6">
        <v>7387269965</v>
      </c>
      <c r="F134" s="6">
        <v>6875652494</v>
      </c>
      <c r="G134" s="6">
        <v>12342134804</v>
      </c>
      <c r="H134" s="6">
        <v>12560630205</v>
      </c>
      <c r="I134" s="6"/>
      <c r="J134" s="6">
        <v>14964393105</v>
      </c>
      <c r="K134" s="72">
        <v>15007050450</v>
      </c>
      <c r="L134" s="6"/>
      <c r="M134" s="6">
        <v>16941776819</v>
      </c>
      <c r="N134" s="6">
        <v>18810836977</v>
      </c>
      <c r="O134" s="6"/>
      <c r="P134" s="6"/>
      <c r="Q134" s="6">
        <v>15254606683</v>
      </c>
      <c r="R134" s="6"/>
      <c r="S134" s="6">
        <v>12922022669</v>
      </c>
      <c r="T134" s="6">
        <v>11647160132</v>
      </c>
      <c r="U134" s="6">
        <v>11250638554</v>
      </c>
      <c r="V134" s="6"/>
      <c r="W134" s="6"/>
      <c r="X134" s="6">
        <v>16885943380</v>
      </c>
      <c r="Y134" s="6">
        <v>14080615849</v>
      </c>
      <c r="Z134" s="6">
        <v>14255280657</v>
      </c>
      <c r="AA134" s="6">
        <v>17268980594</v>
      </c>
      <c r="AB134" s="40">
        <v>16082763492</v>
      </c>
      <c r="AC134" s="6"/>
      <c r="AD134" s="6"/>
      <c r="AE134" s="6">
        <v>18305290557</v>
      </c>
      <c r="AF134" s="6">
        <v>14617189893</v>
      </c>
      <c r="AG134" s="6"/>
    </row>
    <row r="135" spans="1:35">
      <c r="A135" s="3" t="s">
        <v>139</v>
      </c>
      <c r="C135" s="72">
        <f>C134-C132</f>
        <v>5380836984</v>
      </c>
      <c r="D135" s="74">
        <f>D134-D132</f>
        <v>4571777660</v>
      </c>
      <c r="E135" s="43">
        <f>E134-E132</f>
        <v>4684823290</v>
      </c>
      <c r="F135" s="6">
        <f>F134-F132</f>
        <v>4451707098</v>
      </c>
      <c r="G135" s="43">
        <f>G134-G132</f>
        <v>9475347988</v>
      </c>
      <c r="H135" s="6"/>
      <c r="I135" s="43"/>
      <c r="J135" s="72">
        <f>J134-J132</f>
        <v>11394996926</v>
      </c>
      <c r="K135" s="80">
        <f>K134-K132</f>
        <v>10675486732</v>
      </c>
      <c r="L135" s="43"/>
      <c r="M135" s="6">
        <f>M134-M132</f>
        <v>14791364647</v>
      </c>
      <c r="N135" s="40">
        <f>N134-N132</f>
        <v>8924118465</v>
      </c>
      <c r="O135" s="40"/>
      <c r="P135" s="40"/>
      <c r="Q135" s="40">
        <f>Q134-Q132</f>
        <v>9296173330</v>
      </c>
      <c r="R135" s="43"/>
      <c r="S135" s="6">
        <f>S134-S132</f>
        <v>7304261603</v>
      </c>
      <c r="T135" s="6">
        <f>T134-T132</f>
        <v>6535140830</v>
      </c>
      <c r="U135" s="40">
        <f>U134-U132</f>
        <v>5120780878</v>
      </c>
      <c r="V135" s="40"/>
      <c r="W135" s="43"/>
      <c r="X135" s="6">
        <f>X134-X132</f>
        <v>10902888145</v>
      </c>
      <c r="Y135" s="43">
        <f>Y134-Y132</f>
        <v>9957557447</v>
      </c>
      <c r="Z135" s="6">
        <f>Z134-Z132</f>
        <v>13598951540</v>
      </c>
      <c r="AA135" s="6">
        <f>AA134-AA132</f>
        <v>12303369208</v>
      </c>
      <c r="AB135" s="40">
        <f>AB134-AB132</f>
        <v>11952181879</v>
      </c>
      <c r="AC135" s="43"/>
      <c r="AD135" s="43"/>
      <c r="AE135" s="125">
        <f>AE134-AE132</f>
        <v>11019797995</v>
      </c>
      <c r="AF135" s="67">
        <f>AF134-AF132</f>
        <v>-3302908207</v>
      </c>
      <c r="AG135" s="67"/>
    </row>
    <row r="136" spans="1:35">
      <c r="A136" s="3" t="s">
        <v>181</v>
      </c>
      <c r="C136" s="72">
        <v>2238843899</v>
      </c>
      <c r="D136" s="74">
        <v>2445117475</v>
      </c>
      <c r="E136" s="6">
        <v>1567931633</v>
      </c>
      <c r="F136" s="6">
        <v>2399103543</v>
      </c>
      <c r="G136" s="6">
        <v>2525573624</v>
      </c>
      <c r="H136" s="6"/>
      <c r="I136" s="6"/>
      <c r="J136" s="72">
        <v>2208196291</v>
      </c>
      <c r="K136" s="72"/>
      <c r="M136" s="6">
        <v>2812997029</v>
      </c>
      <c r="N136" s="6">
        <v>2892971772</v>
      </c>
      <c r="O136" s="6"/>
      <c r="P136" s="6"/>
      <c r="Q136" s="6">
        <v>2539448734</v>
      </c>
      <c r="R136" s="6"/>
      <c r="S136" s="6">
        <v>3060357068</v>
      </c>
      <c r="T136" s="6">
        <v>3767179727</v>
      </c>
      <c r="U136" s="6">
        <v>3352944048</v>
      </c>
      <c r="W136" s="6"/>
      <c r="X136" s="6">
        <v>2427555925</v>
      </c>
      <c r="Y136" s="40">
        <v>2637696791</v>
      </c>
      <c r="Z136" s="6">
        <v>2818379037</v>
      </c>
      <c r="AA136" s="6">
        <v>2759088833</v>
      </c>
      <c r="AB136" s="6">
        <v>2754396293</v>
      </c>
      <c r="AC136" s="6"/>
      <c r="AD136" s="40"/>
      <c r="AE136" s="6">
        <v>2470734618</v>
      </c>
      <c r="AF136" s="6">
        <v>2629382124</v>
      </c>
    </row>
    <row r="137" spans="1:35">
      <c r="A137" s="3" t="s">
        <v>139</v>
      </c>
      <c r="C137" s="74">
        <f>C135+C136</f>
        <v>7619680883</v>
      </c>
      <c r="D137" s="74">
        <f>D135+D136</f>
        <v>7016895135</v>
      </c>
      <c r="E137" s="6">
        <f>E135+E136</f>
        <v>6252754923</v>
      </c>
      <c r="F137" s="6">
        <f>F135+F136</f>
        <v>6850810641</v>
      </c>
      <c r="G137" s="6">
        <f>G135+G136</f>
        <v>12000921612</v>
      </c>
      <c r="H137" s="6"/>
      <c r="I137" s="6"/>
      <c r="J137" s="72">
        <f>J135+J136</f>
        <v>13603193217</v>
      </c>
      <c r="K137" s="72"/>
      <c r="M137" s="6">
        <f>M135+M136</f>
        <v>17604361676</v>
      </c>
      <c r="N137" s="6">
        <f>N135+N136</f>
        <v>11817090237</v>
      </c>
      <c r="O137" s="6"/>
      <c r="P137" s="6"/>
      <c r="Q137" s="6">
        <f>Q135+Q136</f>
        <v>11835622064</v>
      </c>
      <c r="R137" s="43"/>
      <c r="S137" s="43">
        <f>S135+S136</f>
        <v>10364618671</v>
      </c>
      <c r="T137" s="43">
        <f>T135+T136</f>
        <v>10302320557</v>
      </c>
      <c r="U137" s="6">
        <f>U135+U136</f>
        <v>8473724926</v>
      </c>
      <c r="W137" s="6"/>
      <c r="X137" s="6">
        <f>X135+X136</f>
        <v>13330444070</v>
      </c>
      <c r="Y137" s="40">
        <f>Y135+Y136</f>
        <v>12595254238</v>
      </c>
      <c r="Z137" s="43">
        <f>Z135+Z136</f>
        <v>16417330577</v>
      </c>
      <c r="AA137" s="43">
        <f>AA135+AA136</f>
        <v>15062458041</v>
      </c>
      <c r="AB137" s="6">
        <f>AB135+AB136</f>
        <v>14706578172</v>
      </c>
      <c r="AC137" s="6"/>
      <c r="AD137" s="43"/>
      <c r="AE137" s="6">
        <f>AE135+AE136</f>
        <v>13490532613</v>
      </c>
      <c r="AF137" s="40">
        <f>AF135+AF136</f>
        <v>-673526083</v>
      </c>
    </row>
    <row r="138" spans="1:35">
      <c r="E138" s="6"/>
      <c r="F138" s="6"/>
      <c r="H138" s="40"/>
      <c r="I138" s="6"/>
      <c r="J138" s="72"/>
      <c r="K138" s="80"/>
      <c r="M138" s="6"/>
      <c r="N138" s="6"/>
      <c r="P138" s="6"/>
      <c r="U138" s="6"/>
      <c r="X138" s="6"/>
      <c r="Z138" s="43"/>
      <c r="AB138" s="6"/>
    </row>
    <row r="139" spans="1:35">
      <c r="F139" s="6"/>
      <c r="I139" s="43"/>
      <c r="K139" s="74">
        <f>J137-K132</f>
        <v>9271629499</v>
      </c>
      <c r="X139" s="43"/>
    </row>
    <row r="140" spans="1:35">
      <c r="Y140" s="6"/>
      <c r="AD140" s="41" t="s">
        <v>120</v>
      </c>
      <c r="AE140" s="42">
        <v>35472809</v>
      </c>
      <c r="AF140" s="41" t="s">
        <v>128</v>
      </c>
      <c r="AG140" s="116">
        <f>12601000+58786100+70661200</f>
        <v>142048300</v>
      </c>
      <c r="AH140" s="41" t="s">
        <v>131</v>
      </c>
      <c r="AI140" s="42">
        <v>24220575</v>
      </c>
    </row>
    <row r="141" spans="1:35">
      <c r="C141" s="3"/>
      <c r="D141" s="3"/>
      <c r="H141" s="43"/>
      <c r="AD141" s="41" t="s">
        <v>121</v>
      </c>
      <c r="AE141" s="42">
        <v>14204180</v>
      </c>
      <c r="AF141" s="41" t="s">
        <v>129</v>
      </c>
      <c r="AG141" s="116">
        <v>1130000</v>
      </c>
      <c r="AH141" s="41" t="s">
        <v>132</v>
      </c>
      <c r="AI141" s="42">
        <v>29013000</v>
      </c>
    </row>
    <row r="142" spans="1:35">
      <c r="S142" s="44">
        <v>44256</v>
      </c>
      <c r="U142" s="44"/>
      <c r="AD142" s="41" t="s">
        <v>122</v>
      </c>
      <c r="AE142" s="42">
        <v>38068270</v>
      </c>
      <c r="AF142" s="41" t="s">
        <v>130</v>
      </c>
      <c r="AG142" s="116">
        <v>124601500</v>
      </c>
      <c r="AH142" s="41" t="s">
        <v>127</v>
      </c>
      <c r="AI142" s="42">
        <v>43960805</v>
      </c>
    </row>
    <row r="143" spans="1:35" ht="15">
      <c r="C143" s="3"/>
      <c r="D143" s="3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/>
      <c r="X143"/>
      <c r="Y143"/>
      <c r="AD143" s="41" t="s">
        <v>123</v>
      </c>
      <c r="AE143" s="42">
        <v>37755482</v>
      </c>
      <c r="AF143" s="32" t="s">
        <v>6</v>
      </c>
      <c r="AG143" s="117">
        <f>SUM(AG140:AG142)</f>
        <v>267779800</v>
      </c>
      <c r="AH143" s="41" t="s">
        <v>133</v>
      </c>
      <c r="AI143" s="42">
        <v>16297393</v>
      </c>
    </row>
    <row r="144" spans="1:35" ht="15">
      <c r="C144" s="3"/>
      <c r="D144" s="3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389" t="s">
        <v>240</v>
      </c>
      <c r="X144" s="389"/>
      <c r="Y144" s="389"/>
      <c r="Z144" s="389"/>
      <c r="AD144" s="41" t="s">
        <v>124</v>
      </c>
      <c r="AE144" s="42">
        <v>120074200</v>
      </c>
      <c r="AG144" s="6"/>
      <c r="AH144" s="41" t="s">
        <v>134</v>
      </c>
      <c r="AI144" s="42">
        <v>71402128</v>
      </c>
    </row>
    <row r="145" spans="3:35" ht="15">
      <c r="C145" s="3"/>
      <c r="D145" s="3"/>
      <c r="H145" s="3" t="s">
        <v>265</v>
      </c>
      <c r="M145" s="45"/>
      <c r="N145" s="45"/>
      <c r="O145" s="45"/>
      <c r="P145" s="45"/>
      <c r="Q145" s="45" t="s">
        <v>108</v>
      </c>
      <c r="R145" s="45"/>
      <c r="S145" s="45"/>
      <c r="T145" s="45"/>
      <c r="U145" s="45"/>
      <c r="V145" s="45"/>
      <c r="W145"/>
      <c r="X145"/>
      <c r="Y145"/>
      <c r="AC145" s="3" t="s">
        <v>111</v>
      </c>
      <c r="AD145" s="41" t="s">
        <v>125</v>
      </c>
      <c r="AE145" s="42">
        <v>39264697</v>
      </c>
      <c r="AG145" s="6"/>
      <c r="AH145" s="41" t="s">
        <v>135</v>
      </c>
      <c r="AI145" s="42">
        <v>70219456</v>
      </c>
    </row>
    <row r="146" spans="3:35" ht="15">
      <c r="C146" s="3"/>
      <c r="D146" s="3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127" t="s">
        <v>229</v>
      </c>
      <c r="X146" s="127" t="s">
        <v>230</v>
      </c>
      <c r="Y146" s="127" t="s">
        <v>231</v>
      </c>
      <c r="Z146" s="128" t="s">
        <v>233</v>
      </c>
      <c r="AD146" s="41" t="s">
        <v>126</v>
      </c>
      <c r="AE146" s="42">
        <v>3066461</v>
      </c>
      <c r="AG146" s="6"/>
      <c r="AH146" s="41" t="s">
        <v>120</v>
      </c>
      <c r="AI146" s="42">
        <v>6461250</v>
      </c>
    </row>
    <row r="147" spans="3:35" ht="15">
      <c r="C147" s="3"/>
      <c r="D147" s="3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129">
        <v>44398</v>
      </c>
      <c r="X147" s="130" t="s">
        <v>232</v>
      </c>
      <c r="Y147" s="131">
        <v>1250000</v>
      </c>
      <c r="Z147" s="41" t="s">
        <v>234</v>
      </c>
      <c r="AD147" s="41" t="s">
        <v>127</v>
      </c>
      <c r="AE147" s="42">
        <v>1150000</v>
      </c>
      <c r="AG147" s="6"/>
      <c r="AH147" s="41" t="s">
        <v>121</v>
      </c>
      <c r="AI147" s="42">
        <v>2735500</v>
      </c>
    </row>
    <row r="148" spans="3:35" ht="15">
      <c r="C148" s="3"/>
      <c r="D148" s="3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129">
        <v>44398</v>
      </c>
      <c r="X148" s="130" t="s">
        <v>235</v>
      </c>
      <c r="Y148" s="131">
        <v>5758500</v>
      </c>
      <c r="Z148" s="41" t="s">
        <v>238</v>
      </c>
      <c r="AD148" s="32" t="s">
        <v>6</v>
      </c>
      <c r="AE148" s="115">
        <f>SUM(AE140:AE147)</f>
        <v>289056099</v>
      </c>
      <c r="AH148" s="41" t="s">
        <v>136</v>
      </c>
      <c r="AI148" s="42">
        <v>26692000</v>
      </c>
    </row>
    <row r="149" spans="3:35" ht="15">
      <c r="C149" s="3"/>
      <c r="D149" s="3"/>
      <c r="M149" s="45" t="s">
        <v>97</v>
      </c>
      <c r="N149" s="45"/>
      <c r="O149" s="45"/>
      <c r="P149" s="45"/>
      <c r="Q149" s="45"/>
      <c r="R149" s="45"/>
      <c r="S149" s="45"/>
      <c r="T149" s="45"/>
      <c r="U149" s="45"/>
      <c r="V149" s="45"/>
      <c r="W149" s="129">
        <v>44398</v>
      </c>
      <c r="X149" s="130" t="s">
        <v>235</v>
      </c>
      <c r="Y149" s="131">
        <v>33905000</v>
      </c>
      <c r="Z149" s="41" t="s">
        <v>239</v>
      </c>
      <c r="AH149" s="41" t="s">
        <v>123</v>
      </c>
      <c r="AI149" s="42">
        <v>27332750</v>
      </c>
    </row>
    <row r="150" spans="3:35" ht="15">
      <c r="C150" s="3"/>
      <c r="D150" s="3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129">
        <v>44398</v>
      </c>
      <c r="X150" s="130" t="s">
        <v>236</v>
      </c>
      <c r="Y150" s="131">
        <f>1050000+2100000</f>
        <v>3150000</v>
      </c>
      <c r="Z150" s="41" t="s">
        <v>237</v>
      </c>
      <c r="AH150" s="41" t="s">
        <v>124</v>
      </c>
      <c r="AI150" s="42">
        <v>46899155</v>
      </c>
    </row>
    <row r="151" spans="3:35" ht="15">
      <c r="C151" s="3"/>
      <c r="D151" s="3"/>
      <c r="M151"/>
      <c r="N151"/>
      <c r="O151" s="46"/>
      <c r="P151" s="46"/>
      <c r="Q151" s="46"/>
      <c r="R151" s="46"/>
      <c r="S151" s="46"/>
      <c r="T151" s="46"/>
      <c r="U151" s="46"/>
      <c r="V151" s="47"/>
      <c r="W151" s="46"/>
      <c r="X151"/>
      <c r="Y151" s="132"/>
      <c r="AH151" s="41" t="s">
        <v>125</v>
      </c>
      <c r="AI151" s="42">
        <v>43312000</v>
      </c>
    </row>
    <row r="152" spans="3:35" ht="15">
      <c r="C152" s="3"/>
      <c r="D152" s="3"/>
      <c r="M152"/>
      <c r="N152"/>
      <c r="O152" s="46"/>
      <c r="P152" s="46"/>
      <c r="Q152" s="46"/>
      <c r="R152" s="46"/>
      <c r="S152" s="46"/>
      <c r="T152" s="46"/>
      <c r="U152" s="46"/>
      <c r="V152" s="47"/>
      <c r="W152" s="46"/>
      <c r="X152" t="s">
        <v>241</v>
      </c>
      <c r="Y152" s="133">
        <f>SUM(Y147:Y151)</f>
        <v>44063500</v>
      </c>
      <c r="AH152" s="41" t="s">
        <v>138</v>
      </c>
      <c r="AI152" s="42">
        <v>2134000</v>
      </c>
    </row>
    <row r="153" spans="3:35" ht="15">
      <c r="C153" s="3"/>
      <c r="D153" s="3"/>
      <c r="M153"/>
      <c r="N153"/>
      <c r="O153" s="46"/>
      <c r="P153" s="46"/>
      <c r="Q153" s="46"/>
      <c r="R153" s="46"/>
      <c r="S153" s="46"/>
      <c r="T153" s="46"/>
      <c r="U153" s="46"/>
      <c r="V153" s="46"/>
      <c r="W153" s="46"/>
      <c r="X153"/>
      <c r="Y153"/>
      <c r="AH153" s="41" t="s">
        <v>137</v>
      </c>
      <c r="AI153" s="42">
        <v>353453</v>
      </c>
    </row>
    <row r="154" spans="3:35">
      <c r="AH154" s="32" t="s">
        <v>6</v>
      </c>
      <c r="AI154" s="115">
        <f>SUM(AI140:AI153)</f>
        <v>411033465</v>
      </c>
    </row>
    <row r="155" spans="3:35">
      <c r="AI155" s="6"/>
    </row>
    <row r="156" spans="3:35">
      <c r="AI156" s="6"/>
    </row>
    <row r="157" spans="3:35">
      <c r="AI157" s="6"/>
    </row>
    <row r="158" spans="3:35">
      <c r="AI158" s="6"/>
    </row>
    <row r="159" spans="3:35">
      <c r="C159" s="3"/>
      <c r="D159" s="3"/>
      <c r="J159" s="3"/>
      <c r="K159" s="3"/>
      <c r="AI159" s="6"/>
    </row>
    <row r="160" spans="3:35">
      <c r="C160" s="3"/>
      <c r="D160" s="3"/>
      <c r="J160" s="3"/>
      <c r="K160" s="3"/>
      <c r="AI160" s="6"/>
    </row>
  </sheetData>
  <mergeCells count="3">
    <mergeCell ref="C4:AG4"/>
    <mergeCell ref="A132:B132"/>
    <mergeCell ref="W144:Z144"/>
  </mergeCells>
  <pageMargins left="0.70866141732283472" right="0.70866141732283472" top="0.19685039370078741" bottom="0.19685039370078741" header="0.31496062992125984" footer="0.31496062992125984"/>
  <pageSetup paperSize="9" scale="22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167"/>
  <sheetViews>
    <sheetView topLeftCell="X1" zoomScale="60" zoomScaleNormal="60" workbookViewId="0">
      <selection activeCell="AI24" sqref="AI24"/>
    </sheetView>
  </sheetViews>
  <sheetFormatPr defaultRowHeight="15.75"/>
  <cols>
    <col min="1" max="1" width="49.5703125" style="150" customWidth="1"/>
    <col min="2" max="2" width="19.85546875" style="150" customWidth="1"/>
    <col min="3" max="3" width="19.85546875" style="182" customWidth="1"/>
    <col min="4" max="4" width="18.7109375" style="182" customWidth="1"/>
    <col min="5" max="5" width="21.28515625" style="150" customWidth="1"/>
    <col min="6" max="6" width="14.7109375" style="150" customWidth="1"/>
    <col min="7" max="7" width="16.140625" style="150" customWidth="1"/>
    <col min="8" max="8" width="22.140625" style="150" customWidth="1"/>
    <col min="9" max="9" width="21.42578125" style="150" customWidth="1"/>
    <col min="10" max="10" width="25" style="182" customWidth="1"/>
    <col min="11" max="11" width="21" style="182" customWidth="1"/>
    <col min="12" max="12" width="19.85546875" style="150" customWidth="1"/>
    <col min="13" max="14" width="17.5703125" style="150" customWidth="1"/>
    <col min="15" max="15" width="18.28515625" style="150" customWidth="1"/>
    <col min="16" max="16" width="19.85546875" style="150" customWidth="1"/>
    <col min="17" max="17" width="18.85546875" style="150" customWidth="1"/>
    <col min="18" max="18" width="20" style="150" customWidth="1"/>
    <col min="19" max="19" width="21.5703125" style="150" customWidth="1"/>
    <col min="20" max="20" width="18.28515625" style="150" customWidth="1"/>
    <col min="21" max="21" width="15.28515625" style="150" customWidth="1"/>
    <col min="22" max="22" width="18.28515625" style="150" customWidth="1"/>
    <col min="23" max="23" width="22.42578125" style="150" customWidth="1"/>
    <col min="24" max="25" width="20.7109375" style="150" customWidth="1"/>
    <col min="26" max="26" width="22.42578125" style="150" customWidth="1"/>
    <col min="27" max="27" width="17" style="150" customWidth="1"/>
    <col min="28" max="28" width="15.5703125" style="150" customWidth="1"/>
    <col min="29" max="29" width="18.5703125" style="150" customWidth="1"/>
    <col min="30" max="30" width="21.7109375" style="150" customWidth="1"/>
    <col min="31" max="31" width="22" style="150" customWidth="1"/>
    <col min="32" max="32" width="19" style="150" customWidth="1"/>
    <col min="33" max="33" width="21.7109375" style="150" customWidth="1"/>
    <col min="34" max="34" width="20.28515625" style="150" customWidth="1"/>
    <col min="35" max="35" width="13" style="150" customWidth="1"/>
    <col min="36" max="36" width="12.85546875" style="150" customWidth="1"/>
    <col min="37" max="37" width="19.140625" style="150" customWidth="1"/>
    <col min="38" max="16384" width="9.140625" style="150"/>
  </cols>
  <sheetData>
    <row r="1" spans="1:35">
      <c r="A1" s="147" t="s">
        <v>0</v>
      </c>
      <c r="B1" s="148"/>
      <c r="C1" s="149"/>
      <c r="D1" s="149"/>
      <c r="E1" s="148"/>
      <c r="F1" s="148"/>
      <c r="G1" s="148"/>
      <c r="H1" s="148"/>
      <c r="I1" s="148"/>
      <c r="J1" s="149"/>
      <c r="K1" s="149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</row>
    <row r="2" spans="1:35" s="154" customFormat="1">
      <c r="A2" s="151" t="s">
        <v>1</v>
      </c>
      <c r="B2" s="152"/>
      <c r="C2" s="153"/>
      <c r="D2" s="153"/>
      <c r="E2" s="152"/>
      <c r="F2" s="152"/>
      <c r="G2" s="152"/>
      <c r="H2" s="152"/>
      <c r="I2" s="152"/>
      <c r="J2" s="153"/>
      <c r="K2" s="153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</row>
    <row r="3" spans="1:35">
      <c r="A3" s="155" t="s">
        <v>2</v>
      </c>
      <c r="B3" s="156">
        <v>44440</v>
      </c>
      <c r="C3" s="153"/>
      <c r="D3" s="153"/>
      <c r="E3" s="152"/>
      <c r="F3" s="152"/>
      <c r="G3" s="152"/>
      <c r="H3" s="152"/>
      <c r="I3" s="152"/>
      <c r="J3" s="153"/>
      <c r="K3" s="153"/>
      <c r="L3" s="152"/>
      <c r="M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</row>
    <row r="4" spans="1:35">
      <c r="A4" s="157" t="s">
        <v>3</v>
      </c>
      <c r="B4" s="158" t="s">
        <v>4</v>
      </c>
      <c r="C4" s="390" t="s">
        <v>5</v>
      </c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2"/>
      <c r="AH4" s="159" t="s">
        <v>6</v>
      </c>
      <c r="AI4" s="154"/>
    </row>
    <row r="5" spans="1:35">
      <c r="A5" s="157"/>
      <c r="B5" s="158"/>
      <c r="C5" s="160">
        <v>245</v>
      </c>
      <c r="D5" s="160">
        <v>246</v>
      </c>
      <c r="E5" s="160">
        <v>247</v>
      </c>
      <c r="F5" s="160">
        <v>248</v>
      </c>
      <c r="G5" s="160">
        <v>249</v>
      </c>
      <c r="H5" s="160">
        <v>250</v>
      </c>
      <c r="I5" s="160">
        <v>251</v>
      </c>
      <c r="J5" s="160">
        <v>252</v>
      </c>
      <c r="K5" s="160">
        <v>253</v>
      </c>
      <c r="L5" s="160">
        <v>254</v>
      </c>
      <c r="M5" s="160">
        <v>255</v>
      </c>
      <c r="N5" s="160">
        <v>256</v>
      </c>
      <c r="O5" s="160">
        <v>257</v>
      </c>
      <c r="P5" s="160">
        <v>258</v>
      </c>
      <c r="Q5" s="160">
        <v>259</v>
      </c>
      <c r="R5" s="160">
        <v>260</v>
      </c>
      <c r="S5" s="160">
        <v>261</v>
      </c>
      <c r="T5" s="160">
        <v>262</v>
      </c>
      <c r="U5" s="160">
        <v>263</v>
      </c>
      <c r="V5" s="160">
        <v>264</v>
      </c>
      <c r="W5" s="160">
        <v>265</v>
      </c>
      <c r="X5" s="160">
        <v>266</v>
      </c>
      <c r="Y5" s="160">
        <v>267</v>
      </c>
      <c r="Z5" s="160">
        <v>268</v>
      </c>
      <c r="AA5" s="160">
        <v>269</v>
      </c>
      <c r="AB5" s="160">
        <v>270</v>
      </c>
      <c r="AC5" s="160">
        <v>271</v>
      </c>
      <c r="AD5" s="160">
        <v>272</v>
      </c>
      <c r="AE5" s="160">
        <v>273</v>
      </c>
      <c r="AF5" s="160">
        <v>274</v>
      </c>
      <c r="AG5" s="160">
        <v>275</v>
      </c>
      <c r="AH5" s="159"/>
      <c r="AI5" s="154"/>
    </row>
    <row r="6" spans="1:35">
      <c r="A6" s="161" t="s">
        <v>7</v>
      </c>
      <c r="B6" s="162"/>
      <c r="C6" s="163"/>
      <c r="D6" s="164"/>
      <c r="E6" s="163"/>
      <c r="F6" s="163"/>
      <c r="G6" s="163"/>
      <c r="H6" s="163"/>
      <c r="I6" s="163"/>
      <c r="J6" s="164"/>
      <c r="K6" s="164"/>
      <c r="L6" s="163"/>
      <c r="M6" s="163"/>
      <c r="N6" s="163"/>
      <c r="O6" s="164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5"/>
      <c r="AI6" s="154"/>
    </row>
    <row r="7" spans="1:35">
      <c r="A7" s="166" t="s">
        <v>48</v>
      </c>
      <c r="B7" s="162"/>
      <c r="C7" s="167"/>
      <c r="D7" s="167"/>
      <c r="E7" s="168">
        <v>1111427460</v>
      </c>
      <c r="F7" s="169"/>
      <c r="G7" s="167"/>
      <c r="H7" s="170"/>
      <c r="I7" s="178"/>
      <c r="J7" s="178"/>
      <c r="K7" s="178"/>
      <c r="L7" s="178"/>
      <c r="M7" s="167"/>
      <c r="N7" s="171"/>
      <c r="O7" s="178"/>
      <c r="P7" s="178"/>
      <c r="Q7" s="180">
        <v>896562810</v>
      </c>
      <c r="R7" s="168"/>
      <c r="S7" s="170"/>
      <c r="T7" s="168"/>
      <c r="U7" s="168"/>
      <c r="V7" s="167"/>
      <c r="W7" s="167"/>
      <c r="X7" s="168"/>
      <c r="Y7" s="167"/>
      <c r="Z7" s="167"/>
      <c r="AA7" s="168"/>
      <c r="AB7" s="167"/>
      <c r="AC7" s="167"/>
      <c r="AD7" s="167"/>
      <c r="AE7" s="167"/>
      <c r="AF7" s="167"/>
      <c r="AG7" s="167"/>
      <c r="AH7" s="163">
        <f>SUM(C7:AG7)</f>
        <v>2007990270</v>
      </c>
      <c r="AI7" s="173"/>
    </row>
    <row r="8" spans="1:35">
      <c r="A8" s="166" t="s">
        <v>306</v>
      </c>
      <c r="B8" s="162"/>
      <c r="C8" s="167"/>
      <c r="D8" s="167"/>
      <c r="E8" s="167"/>
      <c r="F8" s="167"/>
      <c r="G8" s="167"/>
      <c r="H8" s="167"/>
      <c r="I8" s="175"/>
      <c r="J8" s="175"/>
      <c r="K8" s="175"/>
      <c r="L8" s="175"/>
      <c r="M8" s="167"/>
      <c r="N8" s="167"/>
      <c r="O8" s="172">
        <v>1063893600</v>
      </c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3">
        <f>SUM(C8:AG8)</f>
        <v>1063893600</v>
      </c>
      <c r="AI8" s="173"/>
    </row>
    <row r="9" spans="1:35">
      <c r="A9" s="166" t="s">
        <v>305</v>
      </c>
      <c r="B9" s="162"/>
      <c r="C9" s="167"/>
      <c r="D9" s="167"/>
      <c r="E9" s="167"/>
      <c r="F9" s="167"/>
      <c r="G9" s="167"/>
      <c r="H9" s="168">
        <f>24684917-8515019</f>
        <v>16169898</v>
      </c>
      <c r="I9" s="175"/>
      <c r="J9" s="175"/>
      <c r="K9" s="175"/>
      <c r="L9" s="175"/>
      <c r="M9" s="169"/>
      <c r="N9" s="170"/>
      <c r="O9" s="175"/>
      <c r="P9" s="175"/>
      <c r="Q9" s="175"/>
      <c r="R9" s="175"/>
      <c r="S9" s="175"/>
      <c r="T9" s="167"/>
      <c r="U9" s="168"/>
      <c r="V9" s="172">
        <v>273976895</v>
      </c>
      <c r="W9" s="167"/>
      <c r="X9" s="168"/>
      <c r="Y9" s="168"/>
      <c r="Z9" s="167"/>
      <c r="AA9" s="168"/>
      <c r="AB9" s="168"/>
      <c r="AC9" s="167"/>
      <c r="AD9" s="167"/>
      <c r="AE9" s="168"/>
      <c r="AF9" s="167"/>
      <c r="AG9" s="167"/>
      <c r="AH9" s="163">
        <f>SUM(C9:AG9)</f>
        <v>290146793</v>
      </c>
      <c r="AI9" s="173"/>
    </row>
    <row r="10" spans="1:35">
      <c r="A10" s="166" t="s">
        <v>310</v>
      </c>
      <c r="B10" s="162"/>
      <c r="C10" s="167"/>
      <c r="D10" s="167"/>
      <c r="E10" s="167"/>
      <c r="F10" s="167"/>
      <c r="G10" s="167"/>
      <c r="H10" s="168"/>
      <c r="I10" s="175"/>
      <c r="J10" s="175"/>
      <c r="K10" s="175"/>
      <c r="L10" s="175"/>
      <c r="M10" s="169"/>
      <c r="N10" s="170"/>
      <c r="O10" s="175"/>
      <c r="P10" s="175"/>
      <c r="Q10" s="175"/>
      <c r="R10" s="175"/>
      <c r="S10" s="172">
        <v>147439497</v>
      </c>
      <c r="T10" s="167"/>
      <c r="U10" s="168"/>
      <c r="V10" s="168"/>
      <c r="W10" s="167"/>
      <c r="X10" s="168"/>
      <c r="Y10" s="168"/>
      <c r="Z10" s="167"/>
      <c r="AA10" s="168"/>
      <c r="AB10" s="168"/>
      <c r="AC10" s="167"/>
      <c r="AD10" s="167"/>
      <c r="AE10" s="168"/>
      <c r="AF10" s="167"/>
      <c r="AG10" s="167"/>
      <c r="AH10" s="163"/>
      <c r="AI10" s="173"/>
    </row>
    <row r="11" spans="1:35">
      <c r="A11" s="166" t="s">
        <v>9</v>
      </c>
      <c r="B11" s="162"/>
      <c r="C11" s="167"/>
      <c r="D11" s="167"/>
      <c r="E11" s="167"/>
      <c r="F11" s="167"/>
      <c r="G11" s="167"/>
      <c r="H11" s="167"/>
      <c r="I11" s="175"/>
      <c r="J11" s="175"/>
      <c r="K11" s="175"/>
      <c r="L11" s="175"/>
      <c r="M11" s="167"/>
      <c r="N11" s="167"/>
      <c r="O11" s="175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3">
        <f>SUM(C11:AG11)</f>
        <v>0</v>
      </c>
      <c r="AI11" s="173"/>
    </row>
    <row r="12" spans="1:35">
      <c r="A12" s="166" t="s">
        <v>10</v>
      </c>
      <c r="B12" s="162"/>
      <c r="C12" s="167"/>
      <c r="D12" s="167"/>
      <c r="E12" s="167"/>
      <c r="F12" s="167"/>
      <c r="G12" s="170"/>
      <c r="H12" s="167"/>
      <c r="I12" s="169"/>
      <c r="J12" s="169"/>
      <c r="K12" s="169"/>
      <c r="L12" s="169"/>
      <c r="M12" s="168"/>
      <c r="N12" s="170"/>
      <c r="O12" s="169"/>
      <c r="P12" s="167"/>
      <c r="Q12" s="167"/>
      <c r="R12" s="167"/>
      <c r="S12" s="167"/>
      <c r="T12" s="170"/>
      <c r="U12" s="167"/>
      <c r="V12" s="167"/>
      <c r="W12" s="167"/>
      <c r="X12" s="167"/>
      <c r="Y12" s="167"/>
      <c r="Z12" s="167"/>
      <c r="AA12" s="167"/>
      <c r="AB12" s="170"/>
      <c r="AC12" s="167"/>
      <c r="AD12" s="167"/>
      <c r="AE12" s="167"/>
      <c r="AF12" s="167"/>
      <c r="AG12" s="167"/>
      <c r="AH12" s="163">
        <f>SUM(E12:AG12)</f>
        <v>0</v>
      </c>
      <c r="AI12" s="173"/>
    </row>
    <row r="13" spans="1:35">
      <c r="A13" s="166" t="s">
        <v>205</v>
      </c>
      <c r="B13" s="162"/>
      <c r="C13" s="175"/>
      <c r="D13" s="175"/>
      <c r="E13" s="175"/>
      <c r="F13" s="175"/>
      <c r="G13" s="169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>
        <v>21000000</v>
      </c>
      <c r="AH13" s="163">
        <f>SUM(F13:AG13)</f>
        <v>21000000</v>
      </c>
      <c r="AI13" s="173"/>
    </row>
    <row r="14" spans="1:35">
      <c r="A14" s="166" t="s">
        <v>206</v>
      </c>
      <c r="B14" s="162"/>
      <c r="C14" s="175"/>
      <c r="D14" s="175"/>
      <c r="E14" s="175"/>
      <c r="F14" s="175"/>
      <c r="G14" s="169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>
        <v>14000000</v>
      </c>
      <c r="AH14" s="163"/>
      <c r="AI14" s="173"/>
    </row>
    <row r="15" spans="1:35">
      <c r="A15" s="166" t="s">
        <v>190</v>
      </c>
      <c r="B15" s="162"/>
      <c r="C15" s="169"/>
      <c r="D15" s="169"/>
      <c r="E15" s="169"/>
      <c r="F15" s="168"/>
      <c r="G15" s="168"/>
      <c r="H15" s="167"/>
      <c r="I15" s="168"/>
      <c r="J15" s="168"/>
      <c r="K15" s="168"/>
      <c r="L15" s="168"/>
      <c r="M15" s="174"/>
      <c r="N15" s="174"/>
      <c r="O15" s="168"/>
      <c r="P15" s="168"/>
      <c r="Q15" s="168"/>
      <c r="R15" s="168"/>
      <c r="S15" s="168"/>
      <c r="T15" s="169"/>
      <c r="U15" s="169"/>
      <c r="V15" s="168"/>
      <c r="W15" s="168"/>
      <c r="X15" s="168"/>
      <c r="Y15" s="168"/>
      <c r="Z15" s="168"/>
      <c r="AA15" s="169"/>
      <c r="AB15" s="169"/>
      <c r="AC15" s="168"/>
      <c r="AD15" s="168"/>
      <c r="AE15" s="168"/>
      <c r="AF15" s="168"/>
      <c r="AG15" s="168"/>
      <c r="AH15" s="163"/>
      <c r="AI15" s="173"/>
    </row>
    <row r="16" spans="1:35">
      <c r="A16" s="166" t="s">
        <v>191</v>
      </c>
      <c r="B16" s="162"/>
      <c r="C16" s="169"/>
      <c r="D16" s="169"/>
      <c r="E16" s="169"/>
      <c r="F16" s="168"/>
      <c r="G16" s="168"/>
      <c r="H16" s="167"/>
      <c r="I16" s="168"/>
      <c r="J16" s="168"/>
      <c r="K16" s="168"/>
      <c r="L16" s="168"/>
      <c r="M16" s="174"/>
      <c r="N16" s="174"/>
      <c r="O16" s="168"/>
      <c r="P16" s="168"/>
      <c r="Q16" s="168"/>
      <c r="R16" s="168"/>
      <c r="S16" s="168"/>
      <c r="T16" s="169"/>
      <c r="U16" s="169"/>
      <c r="V16" s="168"/>
      <c r="W16" s="168"/>
      <c r="X16" s="168"/>
      <c r="Y16" s="168"/>
      <c r="Z16" s="168"/>
      <c r="AA16" s="169"/>
      <c r="AB16" s="169"/>
      <c r="AC16" s="168"/>
      <c r="AD16" s="168"/>
      <c r="AE16" s="168"/>
      <c r="AF16" s="168"/>
      <c r="AG16" s="168"/>
      <c r="AH16" s="163"/>
      <c r="AI16" s="173"/>
    </row>
    <row r="17" spans="1:35">
      <c r="A17" s="179" t="s">
        <v>12</v>
      </c>
      <c r="B17" s="162"/>
      <c r="C17" s="167"/>
      <c r="D17" s="167"/>
      <c r="E17" s="167"/>
      <c r="F17" s="168"/>
      <c r="G17" s="168"/>
      <c r="H17" s="167"/>
      <c r="I17" s="167"/>
      <c r="J17" s="167"/>
      <c r="K17" s="167"/>
      <c r="L17" s="167"/>
      <c r="M17" s="174"/>
      <c r="N17" s="174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3">
        <f>SUM(C17:AG17)</f>
        <v>0</v>
      </c>
      <c r="AI17" s="173"/>
    </row>
    <row r="18" spans="1:35">
      <c r="A18" s="179" t="s">
        <v>13</v>
      </c>
      <c r="B18" s="162"/>
      <c r="C18" s="167"/>
      <c r="D18" s="167"/>
      <c r="E18" s="167"/>
      <c r="F18" s="168"/>
      <c r="G18" s="168"/>
      <c r="H18" s="167"/>
      <c r="I18" s="167"/>
      <c r="J18" s="167"/>
      <c r="K18" s="167"/>
      <c r="L18" s="167"/>
      <c r="M18" s="174"/>
      <c r="N18" s="174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3">
        <f>SUM(C18:AG18)</f>
        <v>0</v>
      </c>
      <c r="AI18" s="173"/>
    </row>
    <row r="19" spans="1:35">
      <c r="A19" s="179" t="s">
        <v>14</v>
      </c>
      <c r="B19" s="162"/>
      <c r="C19" s="167"/>
      <c r="D19" s="167"/>
      <c r="E19" s="167"/>
      <c r="F19" s="168"/>
      <c r="G19" s="168"/>
      <c r="H19" s="167"/>
      <c r="I19" s="167"/>
      <c r="J19" s="167"/>
      <c r="K19" s="167"/>
      <c r="L19" s="167"/>
      <c r="M19" s="174"/>
      <c r="N19" s="174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3">
        <f>SUM(C19:AG19)</f>
        <v>0</v>
      </c>
      <c r="AI19" s="173"/>
    </row>
    <row r="20" spans="1:35">
      <c r="A20" s="166" t="s">
        <v>261</v>
      </c>
      <c r="B20" s="162"/>
      <c r="C20" s="167"/>
      <c r="D20" s="167"/>
      <c r="E20" s="168">
        <v>320501610</v>
      </c>
      <c r="F20" s="168"/>
      <c r="G20" s="168"/>
      <c r="H20" s="171"/>
      <c r="I20" s="178"/>
      <c r="J20" s="178"/>
      <c r="K20" s="178"/>
      <c r="L20" s="178"/>
      <c r="M20" s="174"/>
      <c r="N20" s="180"/>
      <c r="O20" s="178"/>
      <c r="P20" s="178"/>
      <c r="Q20" s="178"/>
      <c r="R20" s="178"/>
      <c r="S20" s="178"/>
      <c r="T20" s="168"/>
      <c r="U20" s="168"/>
      <c r="V20" s="178"/>
      <c r="W20" s="178"/>
      <c r="X20" s="178"/>
      <c r="Y20" s="178"/>
      <c r="Z20" s="178"/>
      <c r="AA20" s="167"/>
      <c r="AB20" s="167"/>
      <c r="AC20" s="178"/>
      <c r="AD20" s="178"/>
      <c r="AE20" s="178"/>
      <c r="AF20" s="178"/>
      <c r="AG20" s="178">
        <v>329020200</v>
      </c>
      <c r="AH20" s="163">
        <f>SUM(C20:AG20)</f>
        <v>649521810</v>
      </c>
      <c r="AI20" s="173"/>
    </row>
    <row r="21" spans="1:35">
      <c r="A21" s="166" t="s">
        <v>267</v>
      </c>
      <c r="B21" s="162"/>
      <c r="C21" s="175"/>
      <c r="D21" s="175"/>
      <c r="E21" s="175"/>
      <c r="F21" s="175"/>
      <c r="G21" s="175"/>
      <c r="H21" s="172">
        <v>239660322</v>
      </c>
      <c r="I21" s="170"/>
      <c r="J21" s="170"/>
      <c r="K21" s="170"/>
      <c r="L21" s="170"/>
      <c r="M21" s="175"/>
      <c r="N21" s="175"/>
      <c r="O21" s="170"/>
      <c r="P21" s="170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69"/>
      <c r="AE21" s="169"/>
      <c r="AF21" s="169"/>
      <c r="AG21" s="169"/>
      <c r="AH21" s="163"/>
      <c r="AI21" s="173"/>
    </row>
    <row r="22" spans="1:35">
      <c r="A22" s="166" t="s">
        <v>268</v>
      </c>
      <c r="B22" s="162"/>
      <c r="C22" s="175"/>
      <c r="D22" s="175"/>
      <c r="E22" s="175"/>
      <c r="F22" s="175"/>
      <c r="G22" s="175"/>
      <c r="H22" s="172">
        <v>128796678</v>
      </c>
      <c r="I22" s="170"/>
      <c r="J22" s="170"/>
      <c r="K22" s="170"/>
      <c r="L22" s="170"/>
      <c r="M22" s="175"/>
      <c r="N22" s="175"/>
      <c r="O22" s="170"/>
      <c r="P22" s="170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69"/>
      <c r="AD22" s="169"/>
      <c r="AE22" s="169"/>
      <c r="AF22" s="169"/>
      <c r="AG22" s="169"/>
      <c r="AH22" s="163"/>
      <c r="AI22" s="173"/>
    </row>
    <row r="23" spans="1:35">
      <c r="A23" s="166" t="s">
        <v>269</v>
      </c>
      <c r="B23" s="162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2">
        <v>199017788</v>
      </c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69"/>
      <c r="AD23" s="169"/>
      <c r="AE23" s="169"/>
      <c r="AF23" s="169"/>
      <c r="AG23" s="169"/>
      <c r="AH23" s="163"/>
      <c r="AI23" s="173"/>
    </row>
    <row r="24" spans="1:35">
      <c r="A24" s="166" t="s">
        <v>270</v>
      </c>
      <c r="B24" s="162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2">
        <v>399064572</v>
      </c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69"/>
      <c r="AD24" s="169"/>
      <c r="AE24" s="169"/>
      <c r="AF24" s="169"/>
      <c r="AG24" s="169"/>
      <c r="AH24" s="163"/>
      <c r="AI24" s="173"/>
    </row>
    <row r="25" spans="1:35">
      <c r="A25" s="166" t="s">
        <v>270</v>
      </c>
      <c r="B25" s="162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2"/>
      <c r="AA25" s="175"/>
      <c r="AB25" s="175"/>
      <c r="AC25" s="172">
        <v>824723886</v>
      </c>
      <c r="AD25" s="169"/>
      <c r="AE25" s="169"/>
      <c r="AF25" s="169"/>
      <c r="AG25" s="169"/>
      <c r="AH25" s="163"/>
      <c r="AI25" s="173"/>
    </row>
    <row r="26" spans="1:35">
      <c r="A26" s="166" t="s">
        <v>271</v>
      </c>
      <c r="B26" s="162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>
        <v>1711533188</v>
      </c>
      <c r="AH26" s="163"/>
      <c r="AI26" s="173"/>
    </row>
    <row r="27" spans="1:35">
      <c r="A27" s="166" t="s">
        <v>272</v>
      </c>
      <c r="B27" s="162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>
        <v>174486155</v>
      </c>
      <c r="AH27" s="163"/>
      <c r="AI27" s="173"/>
    </row>
    <row r="28" spans="1:35">
      <c r="A28" s="166" t="s">
        <v>273</v>
      </c>
      <c r="B28" s="162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>
        <v>64278148</v>
      </c>
      <c r="AH28" s="163"/>
      <c r="AI28" s="173"/>
    </row>
    <row r="29" spans="1:35">
      <c r="A29" s="166" t="s">
        <v>274</v>
      </c>
      <c r="B29" s="162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>
        <v>235686542</v>
      </c>
      <c r="AH29" s="163"/>
      <c r="AI29" s="173"/>
    </row>
    <row r="30" spans="1:35">
      <c r="A30" s="166" t="s">
        <v>275</v>
      </c>
      <c r="B30" s="162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>
        <v>73460740</v>
      </c>
      <c r="AH30" s="163"/>
      <c r="AI30" s="173"/>
    </row>
    <row r="31" spans="1:35">
      <c r="A31" s="166" t="s">
        <v>307</v>
      </c>
      <c r="B31" s="162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>
        <v>113660090</v>
      </c>
      <c r="AH31" s="163"/>
      <c r="AI31" s="173"/>
    </row>
    <row r="32" spans="1:35">
      <c r="A32" s="166" t="s">
        <v>308</v>
      </c>
      <c r="B32" s="162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>
        <v>113864148</v>
      </c>
      <c r="AH32" s="163"/>
      <c r="AI32" s="173"/>
    </row>
    <row r="33" spans="1:37">
      <c r="A33" s="166" t="s">
        <v>17</v>
      </c>
      <c r="B33" s="162"/>
      <c r="C33" s="167"/>
      <c r="D33" s="167"/>
      <c r="E33" s="167"/>
      <c r="F33" s="167"/>
      <c r="G33" s="170"/>
      <c r="H33" s="167"/>
      <c r="I33" s="167"/>
      <c r="J33" s="167"/>
      <c r="K33" s="167"/>
      <c r="L33" s="170"/>
      <c r="M33" s="168"/>
      <c r="N33" s="170"/>
      <c r="O33" s="170"/>
      <c r="P33" s="167"/>
      <c r="Q33" s="167"/>
      <c r="R33" s="167"/>
      <c r="S33" s="167"/>
      <c r="T33" s="168"/>
      <c r="U33" s="168"/>
      <c r="V33" s="167"/>
      <c r="W33" s="169"/>
      <c r="X33" s="169"/>
      <c r="Y33" s="167"/>
      <c r="Z33" s="167"/>
      <c r="AA33" s="167"/>
      <c r="AB33" s="167"/>
      <c r="AC33" s="167"/>
      <c r="AD33" s="167"/>
      <c r="AE33" s="167"/>
      <c r="AF33" s="167"/>
      <c r="AG33" s="167"/>
      <c r="AH33" s="163">
        <f>SUM(C33:AG33)</f>
        <v>0</v>
      </c>
      <c r="AI33" s="173"/>
    </row>
    <row r="34" spans="1:37">
      <c r="A34" s="166" t="s">
        <v>18</v>
      </c>
      <c r="B34" s="162"/>
      <c r="C34" s="167"/>
      <c r="D34" s="167"/>
      <c r="E34" s="167"/>
      <c r="F34" s="167"/>
      <c r="G34" s="167"/>
      <c r="H34" s="167"/>
      <c r="I34" s="167"/>
      <c r="J34" s="167"/>
      <c r="K34" s="167"/>
      <c r="L34" s="170"/>
      <c r="M34" s="168"/>
      <c r="N34" s="167"/>
      <c r="O34" s="170"/>
      <c r="P34" s="167"/>
      <c r="Q34" s="167"/>
      <c r="R34" s="167"/>
      <c r="S34" s="167"/>
      <c r="T34" s="168"/>
      <c r="U34" s="167"/>
      <c r="V34" s="167"/>
      <c r="W34" s="169"/>
      <c r="X34" s="169"/>
      <c r="Y34" s="167"/>
      <c r="Z34" s="167"/>
      <c r="AA34" s="167"/>
      <c r="AB34" s="167"/>
      <c r="AC34" s="167"/>
      <c r="AD34" s="167"/>
      <c r="AE34" s="167"/>
      <c r="AF34" s="167"/>
      <c r="AG34" s="167"/>
      <c r="AH34" s="163">
        <f>SUM(C34:AG34)</f>
        <v>0</v>
      </c>
      <c r="AI34" s="173"/>
    </row>
    <row r="35" spans="1:37">
      <c r="A35" s="166" t="s">
        <v>19</v>
      </c>
      <c r="B35" s="162"/>
      <c r="C35" s="167"/>
      <c r="D35" s="167"/>
      <c r="E35" s="167"/>
      <c r="F35" s="167"/>
      <c r="G35" s="170"/>
      <c r="H35" s="167"/>
      <c r="I35" s="167"/>
      <c r="J35" s="167"/>
      <c r="K35" s="168">
        <v>290000000</v>
      </c>
      <c r="L35" s="170"/>
      <c r="M35" s="177"/>
      <c r="N35" s="170"/>
      <c r="O35" s="170"/>
      <c r="P35" s="167"/>
      <c r="Q35" s="167"/>
      <c r="R35" s="167"/>
      <c r="S35" s="167"/>
      <c r="T35" s="168"/>
      <c r="U35" s="167"/>
      <c r="V35" s="167"/>
      <c r="W35" s="169"/>
      <c r="X35" s="169"/>
      <c r="Y35" s="167"/>
      <c r="Z35" s="167"/>
      <c r="AA35" s="167"/>
      <c r="AB35" s="167"/>
      <c r="AC35" s="167"/>
      <c r="AD35" s="167"/>
      <c r="AE35" s="167"/>
      <c r="AF35" s="167"/>
      <c r="AG35" s="167"/>
      <c r="AH35" s="163">
        <f>SUM(C35:AG35)</f>
        <v>290000000</v>
      </c>
      <c r="AI35" s="173"/>
    </row>
    <row r="36" spans="1:37">
      <c r="A36" s="166" t="s">
        <v>20</v>
      </c>
      <c r="B36" s="162"/>
      <c r="C36" s="167"/>
      <c r="D36" s="167"/>
      <c r="E36" s="167"/>
      <c r="F36" s="167"/>
      <c r="G36" s="168"/>
      <c r="H36" s="168">
        <f>33369909-8495264</f>
        <v>24874645</v>
      </c>
      <c r="I36" s="167"/>
      <c r="J36" s="167"/>
      <c r="K36" s="167"/>
      <c r="L36" s="169"/>
      <c r="M36" s="174"/>
      <c r="N36" s="167"/>
      <c r="O36" s="169"/>
      <c r="P36" s="169"/>
      <c r="Q36" s="169"/>
      <c r="R36" s="169"/>
      <c r="S36" s="169"/>
      <c r="T36" s="169"/>
      <c r="U36" s="168"/>
      <c r="V36" s="169"/>
      <c r="W36" s="169"/>
      <c r="X36" s="169"/>
      <c r="Y36" s="169"/>
      <c r="Z36" s="168"/>
      <c r="AA36" s="167"/>
      <c r="AB36" s="167"/>
      <c r="AC36" s="168"/>
      <c r="AD36" s="168"/>
      <c r="AE36" s="168"/>
      <c r="AF36" s="168"/>
      <c r="AG36" s="168">
        <f>33814753-14447462</f>
        <v>19367291</v>
      </c>
      <c r="AH36" s="163">
        <f>SUM(C36:AG36)</f>
        <v>44241936</v>
      </c>
      <c r="AI36" s="173"/>
    </row>
    <row r="37" spans="1:37">
      <c r="A37" s="166" t="s">
        <v>204</v>
      </c>
      <c r="B37" s="162"/>
      <c r="C37" s="167"/>
      <c r="D37" s="167"/>
      <c r="E37" s="168">
        <v>103565854</v>
      </c>
      <c r="F37" s="168"/>
      <c r="G37" s="168"/>
      <c r="H37" s="167"/>
      <c r="I37" s="167"/>
      <c r="J37" s="167"/>
      <c r="K37" s="167"/>
      <c r="L37" s="168"/>
      <c r="M37" s="174"/>
      <c r="N37" s="168"/>
      <c r="O37" s="168"/>
      <c r="P37" s="167"/>
      <c r="Q37" s="167"/>
      <c r="R37" s="167"/>
      <c r="S37" s="167"/>
      <c r="T37" s="168"/>
      <c r="U37" s="168"/>
      <c r="V37" s="168">
        <v>84793456</v>
      </c>
      <c r="W37" s="169"/>
      <c r="X37" s="169"/>
      <c r="Y37" s="180"/>
      <c r="Z37" s="169"/>
      <c r="AA37" s="168"/>
      <c r="AB37" s="168"/>
      <c r="AC37" s="169"/>
      <c r="AD37" s="169"/>
      <c r="AE37" s="169"/>
      <c r="AF37" s="169"/>
      <c r="AG37" s="169"/>
      <c r="AH37" s="163">
        <f>SUM(C37:AG37)</f>
        <v>188359310</v>
      </c>
      <c r="AI37" s="173">
        <f>390501249-392501249</f>
        <v>-2000000</v>
      </c>
    </row>
    <row r="38" spans="1:37">
      <c r="A38" s="166" t="s">
        <v>298</v>
      </c>
      <c r="B38" s="162"/>
      <c r="C38" s="167"/>
      <c r="D38" s="167"/>
      <c r="E38" s="168"/>
      <c r="F38" s="168"/>
      <c r="G38" s="168"/>
      <c r="H38" s="167"/>
      <c r="I38" s="167"/>
      <c r="J38" s="167"/>
      <c r="K38" s="167"/>
      <c r="L38" s="167"/>
      <c r="M38" s="174"/>
      <c r="N38" s="168"/>
      <c r="O38" s="168">
        <v>121683487</v>
      </c>
      <c r="P38" s="167"/>
      <c r="Q38" s="167"/>
      <c r="R38" s="167"/>
      <c r="S38" s="167"/>
      <c r="T38" s="168"/>
      <c r="U38" s="168"/>
      <c r="V38" s="167"/>
      <c r="W38" s="169"/>
      <c r="X38" s="169"/>
      <c r="Y38" s="180"/>
      <c r="Z38" s="169"/>
      <c r="AA38" s="168"/>
      <c r="AB38" s="168"/>
      <c r="AC38" s="169"/>
      <c r="AD38" s="169"/>
      <c r="AE38" s="169"/>
      <c r="AF38" s="169"/>
      <c r="AG38" s="169"/>
      <c r="AH38" s="163"/>
      <c r="AI38" s="173"/>
    </row>
    <row r="39" spans="1:37">
      <c r="A39" s="166" t="s">
        <v>299</v>
      </c>
      <c r="B39" s="162"/>
      <c r="C39" s="167"/>
      <c r="D39" s="167"/>
      <c r="E39" s="168"/>
      <c r="F39" s="168"/>
      <c r="G39" s="168"/>
      <c r="H39" s="167"/>
      <c r="I39" s="167"/>
      <c r="J39" s="167"/>
      <c r="K39" s="167"/>
      <c r="L39" s="167"/>
      <c r="M39" s="174"/>
      <c r="N39" s="168"/>
      <c r="O39" s="168">
        <v>98166024</v>
      </c>
      <c r="P39" s="167"/>
      <c r="Q39" s="167"/>
      <c r="R39" s="167"/>
      <c r="S39" s="167"/>
      <c r="T39" s="168"/>
      <c r="U39" s="168"/>
      <c r="V39" s="167"/>
      <c r="W39" s="169"/>
      <c r="X39" s="169"/>
      <c r="Y39" s="180"/>
      <c r="Z39" s="169"/>
      <c r="AA39" s="168"/>
      <c r="AB39" s="168"/>
      <c r="AC39" s="169"/>
      <c r="AD39" s="169"/>
      <c r="AE39" s="169"/>
      <c r="AF39" s="169"/>
      <c r="AG39" s="169"/>
      <c r="AH39" s="163"/>
      <c r="AI39" s="173"/>
    </row>
    <row r="40" spans="1:37">
      <c r="A40" s="166" t="s">
        <v>318</v>
      </c>
      <c r="B40" s="162"/>
      <c r="C40" s="171"/>
      <c r="D40" s="171"/>
      <c r="E40" s="171"/>
      <c r="F40" s="171"/>
      <c r="G40" s="168"/>
      <c r="H40" s="167"/>
      <c r="I40" s="167"/>
      <c r="J40" s="167"/>
      <c r="K40" s="174"/>
      <c r="L40" s="174"/>
      <c r="M40" s="174"/>
      <c r="N40" s="171"/>
      <c r="O40" s="180">
        <v>66099529</v>
      </c>
      <c r="P40" s="168"/>
      <c r="Q40" s="168"/>
      <c r="R40" s="168"/>
      <c r="S40" s="168"/>
      <c r="T40" s="168"/>
      <c r="U40" s="167"/>
      <c r="V40" s="168"/>
      <c r="W40" s="169"/>
      <c r="X40" s="176">
        <f>65604612-63467192</f>
        <v>2137420</v>
      </c>
      <c r="Y40" s="168"/>
      <c r="Z40" s="167"/>
      <c r="AA40" s="167"/>
      <c r="AB40" s="168">
        <v>138667175</v>
      </c>
      <c r="AC40" s="167"/>
      <c r="AD40" s="167"/>
      <c r="AE40" s="167"/>
      <c r="AF40" s="167"/>
      <c r="AG40" s="167"/>
      <c r="AH40" s="163">
        <f>SUM(C40:AG40)</f>
        <v>206904124</v>
      </c>
    </row>
    <row r="41" spans="1:37">
      <c r="A41" s="166" t="s">
        <v>297</v>
      </c>
      <c r="B41" s="162"/>
      <c r="C41" s="167"/>
      <c r="D41" s="167"/>
      <c r="E41" s="167"/>
      <c r="F41" s="168"/>
      <c r="G41" s="167"/>
      <c r="H41" s="167"/>
      <c r="I41" s="167"/>
      <c r="J41" s="168">
        <v>166879199</v>
      </c>
      <c r="K41" s="174"/>
      <c r="L41" s="174"/>
      <c r="M41" s="174"/>
      <c r="N41" s="167"/>
      <c r="O41" s="174"/>
      <c r="P41" s="169"/>
      <c r="Q41" s="169"/>
      <c r="R41" s="169"/>
      <c r="S41" s="169"/>
      <c r="T41" s="168"/>
      <c r="U41" s="168"/>
      <c r="V41" s="169"/>
      <c r="W41" s="169"/>
      <c r="X41" s="169"/>
      <c r="Y41" s="167"/>
      <c r="Z41" s="168"/>
      <c r="AA41" s="168"/>
      <c r="AB41" s="168"/>
      <c r="AC41" s="168"/>
      <c r="AD41" s="168"/>
      <c r="AE41" s="168"/>
      <c r="AF41" s="168"/>
      <c r="AG41" s="168"/>
      <c r="AH41" s="163">
        <f>SUM(C41:AG41)</f>
        <v>166879199</v>
      </c>
      <c r="AI41" s="173"/>
    </row>
    <row r="42" spans="1:37">
      <c r="A42" s="166" t="s">
        <v>317</v>
      </c>
      <c r="B42" s="162"/>
      <c r="C42" s="167"/>
      <c r="D42" s="167"/>
      <c r="E42" s="167"/>
      <c r="F42" s="168"/>
      <c r="G42" s="167"/>
      <c r="H42" s="167"/>
      <c r="I42" s="167"/>
      <c r="J42" s="168"/>
      <c r="K42" s="174"/>
      <c r="L42" s="174"/>
      <c r="M42" s="174"/>
      <c r="N42" s="167"/>
      <c r="O42" s="174"/>
      <c r="P42" s="169"/>
      <c r="Q42" s="169"/>
      <c r="R42" s="169"/>
      <c r="S42" s="169"/>
      <c r="T42" s="168"/>
      <c r="U42" s="168"/>
      <c r="V42" s="169"/>
      <c r="W42" s="169"/>
      <c r="X42" s="169"/>
      <c r="Y42" s="168">
        <f>23296974-15709006</f>
        <v>7587968</v>
      </c>
      <c r="Z42" s="168"/>
      <c r="AA42" s="168"/>
      <c r="AB42" s="168"/>
      <c r="AC42" s="168"/>
      <c r="AD42" s="168"/>
      <c r="AE42" s="168"/>
      <c r="AF42" s="168"/>
      <c r="AG42" s="168"/>
      <c r="AH42" s="163"/>
      <c r="AI42" s="173"/>
    </row>
    <row r="43" spans="1:37">
      <c r="A43" s="166" t="s">
        <v>259</v>
      </c>
      <c r="B43" s="162"/>
      <c r="C43" s="167"/>
      <c r="D43" s="167"/>
      <c r="E43" s="167"/>
      <c r="F43" s="181"/>
      <c r="G43" s="181"/>
      <c r="H43" s="167"/>
      <c r="I43" s="167"/>
      <c r="J43" s="167"/>
      <c r="K43" s="181"/>
      <c r="L43" s="181"/>
      <c r="M43" s="168"/>
      <c r="N43" s="167"/>
      <c r="O43" s="181"/>
      <c r="P43" s="167"/>
      <c r="Q43" s="167"/>
      <c r="R43" s="167"/>
      <c r="S43" s="167"/>
      <c r="T43" s="168"/>
      <c r="U43" s="167"/>
      <c r="V43" s="167"/>
      <c r="W43" s="169"/>
      <c r="X43" s="169"/>
      <c r="Y43" s="167"/>
      <c r="Z43" s="167"/>
      <c r="AA43" s="167"/>
      <c r="AB43" s="167"/>
      <c r="AC43" s="167"/>
      <c r="AD43" s="167"/>
      <c r="AE43" s="167"/>
      <c r="AF43" s="167"/>
      <c r="AG43" s="167"/>
      <c r="AH43" s="163">
        <f>SUM(C43:AG43)</f>
        <v>0</v>
      </c>
      <c r="AI43" s="173"/>
    </row>
    <row r="44" spans="1:37">
      <c r="A44" s="166" t="s">
        <v>260</v>
      </c>
      <c r="B44" s="162"/>
      <c r="C44" s="167"/>
      <c r="D44" s="167"/>
      <c r="E44" s="167"/>
      <c r="F44" s="181"/>
      <c r="G44" s="183"/>
      <c r="H44" s="167"/>
      <c r="I44" s="167"/>
      <c r="J44" s="167"/>
      <c r="K44" s="174"/>
      <c r="L44" s="174"/>
      <c r="M44" s="178"/>
      <c r="N44" s="178"/>
      <c r="O44" s="174"/>
      <c r="P44" s="167"/>
      <c r="Q44" s="167"/>
      <c r="R44" s="167"/>
      <c r="S44" s="167"/>
      <c r="T44" s="168"/>
      <c r="U44" s="167"/>
      <c r="V44" s="167"/>
      <c r="W44" s="169"/>
      <c r="X44" s="169"/>
      <c r="Y44" s="167"/>
      <c r="Z44" s="167"/>
      <c r="AA44" s="167"/>
      <c r="AB44" s="167"/>
      <c r="AC44" s="167"/>
      <c r="AD44" s="167"/>
      <c r="AE44" s="167"/>
      <c r="AF44" s="167"/>
      <c r="AG44" s="167"/>
      <c r="AH44" s="163"/>
      <c r="AI44" s="173"/>
    </row>
    <row r="45" spans="1:37">
      <c r="A45" s="166" t="s">
        <v>194</v>
      </c>
      <c r="B45" s="162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>
        <v>296293200</v>
      </c>
      <c r="AH45" s="163">
        <f>SUM(F45:AG45)</f>
        <v>296293200</v>
      </c>
      <c r="AI45" s="173"/>
    </row>
    <row r="46" spans="1:37">
      <c r="A46" s="166" t="s">
        <v>192</v>
      </c>
      <c r="B46" s="162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>
        <v>296293200</v>
      </c>
      <c r="AH46" s="163"/>
      <c r="AI46" s="173"/>
    </row>
    <row r="47" spans="1:37">
      <c r="A47" s="166" t="s">
        <v>256</v>
      </c>
      <c r="B47" s="162"/>
      <c r="C47" s="174"/>
      <c r="D47" s="174"/>
      <c r="E47" s="174"/>
      <c r="F47" s="170"/>
      <c r="G47" s="170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63"/>
      <c r="AI47" s="173"/>
    </row>
    <row r="48" spans="1:37">
      <c r="A48" s="166" t="s">
        <v>142</v>
      </c>
      <c r="B48" s="162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>
        <v>45738000</v>
      </c>
      <c r="AH48" s="163"/>
      <c r="AI48" s="173"/>
      <c r="AJ48" s="184"/>
      <c r="AK48" s="185"/>
    </row>
    <row r="49" spans="1:37">
      <c r="A49" s="166" t="s">
        <v>143</v>
      </c>
      <c r="B49" s="162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>
        <v>17151750</v>
      </c>
      <c r="AH49" s="163"/>
      <c r="AI49" s="173"/>
      <c r="AJ49" s="184"/>
      <c r="AK49" s="185"/>
    </row>
    <row r="50" spans="1:37">
      <c r="A50" s="166" t="s">
        <v>144</v>
      </c>
      <c r="B50" s="162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>
        <v>102910500</v>
      </c>
      <c r="AH50" s="163"/>
      <c r="AI50" s="173"/>
      <c r="AJ50" s="184"/>
      <c r="AK50" s="185"/>
    </row>
    <row r="51" spans="1:37">
      <c r="A51" s="166" t="s">
        <v>173</v>
      </c>
      <c r="B51" s="162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>
        <v>26145900</v>
      </c>
      <c r="AH51" s="163"/>
      <c r="AI51" s="173"/>
      <c r="AJ51" s="184"/>
      <c r="AK51" s="185"/>
    </row>
    <row r="52" spans="1:37">
      <c r="A52" s="166" t="s">
        <v>174</v>
      </c>
      <c r="B52" s="162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>
        <v>14445090</v>
      </c>
      <c r="AH52" s="163"/>
      <c r="AI52" s="173"/>
      <c r="AJ52" s="184"/>
      <c r="AK52" s="186">
        <f>6325269+60889034</f>
        <v>67214303</v>
      </c>
    </row>
    <row r="53" spans="1:37">
      <c r="A53" s="166" t="s">
        <v>246</v>
      </c>
      <c r="B53" s="162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>
        <v>59647500</v>
      </c>
      <c r="AH53" s="163"/>
      <c r="AI53" s="173"/>
      <c r="AJ53" s="184"/>
      <c r="AK53" s="186"/>
    </row>
    <row r="54" spans="1:37">
      <c r="A54" s="166" t="s">
        <v>247</v>
      </c>
      <c r="B54" s="162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>
        <v>47718000</v>
      </c>
      <c r="AH54" s="163"/>
      <c r="AI54" s="173"/>
      <c r="AJ54" s="184"/>
      <c r="AK54" s="186"/>
    </row>
    <row r="55" spans="1:37">
      <c r="A55" s="166" t="s">
        <v>248</v>
      </c>
      <c r="B55" s="162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>
        <v>53682750</v>
      </c>
      <c r="AH55" s="163"/>
      <c r="AI55" s="173"/>
      <c r="AJ55" s="184"/>
      <c r="AK55" s="186"/>
    </row>
    <row r="56" spans="1:37">
      <c r="A56" s="166" t="s">
        <v>249</v>
      </c>
      <c r="B56" s="162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>
        <v>89471250</v>
      </c>
      <c r="AH56" s="163"/>
      <c r="AI56" s="173"/>
      <c r="AJ56" s="184"/>
      <c r="AK56" s="186"/>
    </row>
    <row r="57" spans="1:37">
      <c r="A57" s="166" t="s">
        <v>250</v>
      </c>
      <c r="B57" s="162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>
        <v>101400750</v>
      </c>
      <c r="AH57" s="163"/>
      <c r="AI57" s="173"/>
      <c r="AJ57" s="184"/>
      <c r="AK57" s="186"/>
    </row>
    <row r="58" spans="1:37">
      <c r="A58" s="166" t="s">
        <v>281</v>
      </c>
      <c r="B58" s="162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>
        <v>103374298</v>
      </c>
      <c r="AH58" s="163"/>
      <c r="AI58" s="173"/>
      <c r="AJ58" s="184"/>
      <c r="AK58" s="185"/>
    </row>
    <row r="59" spans="1:37">
      <c r="A59" s="187" t="s">
        <v>263</v>
      </c>
      <c r="B59" s="162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>
        <v>61709422</v>
      </c>
      <c r="AH59" s="163"/>
      <c r="AI59" s="173"/>
      <c r="AJ59" s="184"/>
      <c r="AK59" s="185"/>
    </row>
    <row r="60" spans="1:37">
      <c r="A60" s="187" t="s">
        <v>264</v>
      </c>
      <c r="B60" s="188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>
        <f>33402690+54493879</f>
        <v>87896569</v>
      </c>
      <c r="AH60" s="163"/>
      <c r="AI60" s="173"/>
      <c r="AJ60" s="184"/>
      <c r="AK60" s="185"/>
    </row>
    <row r="61" spans="1:37">
      <c r="A61" s="187" t="s">
        <v>245</v>
      </c>
      <c r="B61" s="162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>
        <v>260658101</v>
      </c>
      <c r="AH61" s="163"/>
      <c r="AI61" s="173"/>
      <c r="AJ61" s="184"/>
      <c r="AK61" s="185"/>
    </row>
    <row r="62" spans="1:37">
      <c r="A62" s="187" t="s">
        <v>284</v>
      </c>
      <c r="B62" s="162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>
        <v>416002400</v>
      </c>
      <c r="AH62" s="163"/>
      <c r="AI62" s="173"/>
      <c r="AJ62" s="184"/>
      <c r="AK62" s="185"/>
    </row>
    <row r="63" spans="1:37">
      <c r="A63" s="187" t="s">
        <v>283</v>
      </c>
      <c r="B63" s="162"/>
      <c r="C63" s="169"/>
      <c r="D63" s="175"/>
      <c r="E63" s="175"/>
      <c r="F63" s="175"/>
      <c r="G63" s="175"/>
      <c r="H63" s="175"/>
      <c r="I63" s="175"/>
      <c r="J63" s="175"/>
      <c r="K63" s="175"/>
      <c r="L63" s="175"/>
      <c r="M63" s="169"/>
      <c r="N63" s="169"/>
      <c r="O63" s="175"/>
      <c r="P63" s="175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3"/>
      <c r="AI63" s="173"/>
      <c r="AJ63" s="184"/>
      <c r="AK63" s="185"/>
    </row>
    <row r="64" spans="1:37">
      <c r="A64" s="166" t="s">
        <v>24</v>
      </c>
      <c r="B64" s="162"/>
      <c r="C64" s="169"/>
      <c r="D64" s="169"/>
      <c r="E64" s="169"/>
      <c r="F64" s="170"/>
      <c r="G64" s="170"/>
      <c r="H64" s="169"/>
      <c r="I64" s="169"/>
      <c r="J64" s="170"/>
      <c r="K64" s="170"/>
      <c r="L64" s="170"/>
      <c r="M64" s="170"/>
      <c r="N64" s="169"/>
      <c r="O64" s="170"/>
      <c r="P64" s="170"/>
      <c r="Q64" s="169"/>
      <c r="R64" s="170"/>
      <c r="S64" s="170"/>
      <c r="T64" s="169"/>
      <c r="U64" s="169"/>
      <c r="V64" s="170"/>
      <c r="W64" s="170"/>
      <c r="X64" s="170"/>
      <c r="Y64" s="170"/>
      <c r="Z64" s="170"/>
      <c r="AA64" s="169"/>
      <c r="AB64" s="169"/>
      <c r="AC64" s="170"/>
      <c r="AD64" s="171"/>
      <c r="AE64" s="169"/>
      <c r="AF64" s="169"/>
      <c r="AG64" s="169"/>
      <c r="AH64" s="163">
        <f>SUM(F64:AF64)</f>
        <v>0</v>
      </c>
      <c r="AI64" s="173"/>
    </row>
    <row r="65" spans="1:36">
      <c r="A65" s="166" t="s">
        <v>152</v>
      </c>
      <c r="B65" s="162"/>
      <c r="C65" s="169"/>
      <c r="D65" s="169"/>
      <c r="E65" s="169"/>
      <c r="F65" s="170"/>
      <c r="G65" s="170"/>
      <c r="H65" s="169"/>
      <c r="I65" s="169"/>
      <c r="J65" s="170"/>
      <c r="K65" s="170"/>
      <c r="L65" s="170"/>
      <c r="M65" s="172"/>
      <c r="N65" s="169"/>
      <c r="O65" s="170"/>
      <c r="P65" s="170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71"/>
      <c r="AE65" s="169"/>
      <c r="AF65" s="169"/>
      <c r="AG65" s="169"/>
      <c r="AH65" s="163">
        <f>SUM(N65:AF65)</f>
        <v>0</v>
      </c>
      <c r="AI65" s="173"/>
      <c r="AJ65" s="167">
        <v>127684117</v>
      </c>
    </row>
    <row r="66" spans="1:36" ht="16.5" customHeight="1">
      <c r="A66" s="166" t="s">
        <v>153</v>
      </c>
      <c r="B66" s="162"/>
      <c r="C66" s="169"/>
      <c r="D66" s="175"/>
      <c r="E66" s="175"/>
      <c r="F66" s="175"/>
      <c r="G66" s="175"/>
      <c r="H66" s="175"/>
      <c r="I66" s="175"/>
      <c r="J66" s="175"/>
      <c r="K66" s="175"/>
      <c r="L66" s="175"/>
      <c r="M66" s="172"/>
      <c r="N66" s="169"/>
      <c r="O66" s="175"/>
      <c r="P66" s="175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3"/>
      <c r="AI66" s="173"/>
      <c r="AJ66" s="189"/>
    </row>
    <row r="67" spans="1:36">
      <c r="A67" s="166" t="s">
        <v>276</v>
      </c>
      <c r="B67" s="162"/>
      <c r="C67" s="169"/>
      <c r="D67" s="175"/>
      <c r="E67" s="175"/>
      <c r="F67" s="175"/>
      <c r="G67" s="175"/>
      <c r="H67" s="175"/>
      <c r="I67" s="175"/>
      <c r="J67" s="175"/>
      <c r="K67" s="175"/>
      <c r="L67" s="175"/>
      <c r="N67" s="169"/>
      <c r="O67" s="175"/>
      <c r="P67" s="175"/>
      <c r="Q67" s="178"/>
      <c r="R67" s="169"/>
      <c r="S67" s="169"/>
      <c r="T67" s="178"/>
      <c r="U67" s="180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3"/>
      <c r="AI67" s="173"/>
      <c r="AJ67" s="189"/>
    </row>
    <row r="68" spans="1:36">
      <c r="A68" s="166" t="s">
        <v>277</v>
      </c>
      <c r="B68" s="162"/>
      <c r="C68" s="169"/>
      <c r="D68" s="175"/>
      <c r="E68" s="175"/>
      <c r="F68" s="175"/>
      <c r="G68" s="175"/>
      <c r="H68" s="175"/>
      <c r="I68" s="175"/>
      <c r="J68" s="175"/>
      <c r="K68" s="175"/>
      <c r="L68" s="175"/>
      <c r="M68" s="172"/>
      <c r="N68" s="169"/>
      <c r="O68" s="175"/>
      <c r="P68" s="175"/>
      <c r="Q68" s="178"/>
      <c r="R68" s="169"/>
      <c r="S68" s="169"/>
      <c r="T68" s="178"/>
      <c r="U68" s="178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3"/>
      <c r="AI68" s="173"/>
      <c r="AJ68" s="189"/>
    </row>
    <row r="69" spans="1:36">
      <c r="A69" s="166" t="s">
        <v>278</v>
      </c>
      <c r="B69" s="162"/>
      <c r="C69" s="180">
        <v>808614514</v>
      </c>
      <c r="D69" s="175"/>
      <c r="E69" s="175"/>
      <c r="F69" s="175"/>
      <c r="G69" s="175"/>
      <c r="H69" s="175"/>
      <c r="I69" s="175"/>
      <c r="J69" s="175"/>
      <c r="K69" s="175"/>
      <c r="L69" s="175"/>
      <c r="M69" s="172"/>
      <c r="N69" s="169"/>
      <c r="O69" s="175"/>
      <c r="P69" s="175"/>
      <c r="Q69" s="178"/>
      <c r="R69" s="169"/>
      <c r="S69" s="169"/>
      <c r="T69" s="178"/>
      <c r="U69" s="178"/>
      <c r="V69" s="169"/>
      <c r="W69" s="169"/>
      <c r="X69" s="169"/>
      <c r="Y69" s="169"/>
      <c r="Z69" s="169"/>
      <c r="AA69" s="178"/>
      <c r="AB69" s="178"/>
      <c r="AC69" s="169"/>
      <c r="AD69" s="169"/>
      <c r="AE69" s="178"/>
      <c r="AF69" s="178"/>
      <c r="AG69" s="178"/>
      <c r="AH69" s="163"/>
      <c r="AI69" s="173"/>
      <c r="AJ69" s="189"/>
    </row>
    <row r="70" spans="1:36">
      <c r="A70" s="166" t="s">
        <v>279</v>
      </c>
      <c r="B70" s="162"/>
      <c r="C70" s="178"/>
      <c r="D70" s="178"/>
      <c r="E70" s="178"/>
      <c r="F70" s="175"/>
      <c r="G70" s="175"/>
      <c r="H70" s="178"/>
      <c r="I70" s="180">
        <v>187960020</v>
      </c>
      <c r="J70" s="175"/>
      <c r="K70" s="175"/>
      <c r="L70" s="175"/>
      <c r="M70" s="172"/>
      <c r="N70" s="169"/>
      <c r="O70" s="175"/>
      <c r="P70" s="175"/>
      <c r="Q70" s="178"/>
      <c r="R70" s="169"/>
      <c r="S70" s="169"/>
      <c r="T70" s="178"/>
      <c r="U70" s="178"/>
      <c r="V70" s="169"/>
      <c r="W70" s="169"/>
      <c r="X70" s="169"/>
      <c r="Y70" s="169"/>
      <c r="Z70" s="169"/>
      <c r="AA70" s="178"/>
      <c r="AB70" s="178"/>
      <c r="AC70" s="169"/>
      <c r="AD70" s="169"/>
      <c r="AE70" s="178"/>
      <c r="AF70" s="178"/>
      <c r="AG70" s="178"/>
      <c r="AH70" s="163"/>
      <c r="AI70" s="173"/>
      <c r="AJ70" s="189"/>
    </row>
    <row r="71" spans="1:36">
      <c r="A71" s="166" t="s">
        <v>280</v>
      </c>
      <c r="B71" s="162"/>
      <c r="C71" s="178"/>
      <c r="D71" s="178"/>
      <c r="E71" s="178"/>
      <c r="F71" s="175"/>
      <c r="G71" s="175"/>
      <c r="H71" s="178"/>
      <c r="I71" s="180">
        <v>188613682</v>
      </c>
      <c r="J71" s="175"/>
      <c r="K71" s="175"/>
      <c r="L71" s="175"/>
      <c r="M71" s="172"/>
      <c r="N71" s="169"/>
      <c r="O71" s="175"/>
      <c r="P71" s="175"/>
      <c r="Q71" s="178"/>
      <c r="R71" s="169"/>
      <c r="S71" s="169"/>
      <c r="T71" s="178"/>
      <c r="U71" s="178"/>
      <c r="V71" s="169"/>
      <c r="W71" s="169"/>
      <c r="X71" s="169"/>
      <c r="Y71" s="169"/>
      <c r="Z71" s="169"/>
      <c r="AA71" s="178"/>
      <c r="AB71" s="178"/>
      <c r="AC71" s="169"/>
      <c r="AD71" s="169"/>
      <c r="AE71" s="178"/>
      <c r="AF71" s="178"/>
      <c r="AG71" s="178"/>
      <c r="AH71" s="163"/>
      <c r="AI71" s="173"/>
      <c r="AJ71" s="189"/>
    </row>
    <row r="72" spans="1:36">
      <c r="A72" s="166" t="s">
        <v>286</v>
      </c>
      <c r="B72" s="162"/>
      <c r="C72" s="178"/>
      <c r="D72" s="178"/>
      <c r="E72" s="178"/>
      <c r="F72" s="175"/>
      <c r="G72" s="175"/>
      <c r="H72" s="178"/>
      <c r="I72" s="180">
        <v>370836537</v>
      </c>
      <c r="J72" s="175"/>
      <c r="K72" s="175"/>
      <c r="L72" s="175"/>
      <c r="M72" s="172"/>
      <c r="N72" s="169"/>
      <c r="O72" s="175"/>
      <c r="P72" s="175"/>
      <c r="Q72" s="178"/>
      <c r="R72" s="169"/>
      <c r="S72" s="169"/>
      <c r="T72" s="178"/>
      <c r="U72" s="178"/>
      <c r="V72" s="169"/>
      <c r="W72" s="169"/>
      <c r="X72" s="169"/>
      <c r="Y72" s="169"/>
      <c r="Z72" s="169"/>
      <c r="AA72" s="178"/>
      <c r="AB72" s="178"/>
      <c r="AC72" s="169"/>
      <c r="AD72" s="169"/>
      <c r="AE72" s="178"/>
      <c r="AF72" s="178"/>
      <c r="AG72" s="178"/>
      <c r="AH72" s="163"/>
      <c r="AI72" s="173"/>
      <c r="AJ72" s="189"/>
    </row>
    <row r="73" spans="1:36">
      <c r="A73" s="166" t="s">
        <v>285</v>
      </c>
      <c r="B73" s="162"/>
      <c r="C73" s="178"/>
      <c r="D73" s="178"/>
      <c r="E73" s="178"/>
      <c r="F73" s="175"/>
      <c r="G73" s="175"/>
      <c r="H73" s="178"/>
      <c r="I73" s="178"/>
      <c r="J73" s="178"/>
      <c r="K73" s="178"/>
      <c r="L73" s="178"/>
      <c r="M73" s="172"/>
      <c r="N73" s="169"/>
      <c r="O73" s="178"/>
      <c r="P73" s="180">
        <v>296230003</v>
      </c>
      <c r="Q73" s="178"/>
      <c r="R73" s="169"/>
      <c r="S73" s="169"/>
      <c r="T73" s="178"/>
      <c r="U73" s="178"/>
      <c r="V73" s="169"/>
      <c r="W73" s="169"/>
      <c r="X73" s="169"/>
      <c r="Y73" s="169"/>
      <c r="Z73" s="169"/>
      <c r="AA73" s="178"/>
      <c r="AB73" s="178"/>
      <c r="AC73" s="169"/>
      <c r="AD73" s="169"/>
      <c r="AE73" s="178"/>
      <c r="AF73" s="178"/>
      <c r="AG73" s="178"/>
      <c r="AH73" s="163"/>
      <c r="AI73" s="173"/>
      <c r="AJ73" s="189"/>
    </row>
    <row r="74" spans="1:36">
      <c r="A74" s="166" t="s">
        <v>287</v>
      </c>
      <c r="B74" s="162"/>
      <c r="C74" s="178"/>
      <c r="D74" s="178"/>
      <c r="E74" s="178"/>
      <c r="F74" s="175"/>
      <c r="G74" s="175"/>
      <c r="H74" s="178"/>
      <c r="I74" s="178"/>
      <c r="J74" s="178"/>
      <c r="K74" s="178"/>
      <c r="L74" s="178"/>
      <c r="M74" s="172"/>
      <c r="N74" s="169"/>
      <c r="O74" s="178"/>
      <c r="P74" s="180">
        <v>863359234</v>
      </c>
      <c r="Q74" s="178"/>
      <c r="R74" s="169"/>
      <c r="S74" s="169"/>
      <c r="T74" s="178"/>
      <c r="U74" s="178"/>
      <c r="V74" s="169"/>
      <c r="W74" s="169"/>
      <c r="X74" s="169"/>
      <c r="Y74" s="169"/>
      <c r="Z74" s="169"/>
      <c r="AA74" s="178"/>
      <c r="AB74" s="178"/>
      <c r="AC74" s="169"/>
      <c r="AD74" s="169"/>
      <c r="AE74" s="178"/>
      <c r="AF74" s="178"/>
      <c r="AG74" s="178"/>
      <c r="AH74" s="163"/>
      <c r="AI74" s="173"/>
      <c r="AJ74" s="189"/>
    </row>
    <row r="75" spans="1:36">
      <c r="A75" s="166" t="s">
        <v>288</v>
      </c>
      <c r="B75" s="162"/>
      <c r="C75" s="178"/>
      <c r="D75" s="178"/>
      <c r="E75" s="178"/>
      <c r="F75" s="175"/>
      <c r="G75" s="175"/>
      <c r="H75" s="178"/>
      <c r="I75" s="178"/>
      <c r="J75" s="178"/>
      <c r="K75" s="178"/>
      <c r="L75" s="178"/>
      <c r="M75" s="172"/>
      <c r="N75" s="169"/>
      <c r="O75" s="178"/>
      <c r="P75" s="180">
        <v>159570775</v>
      </c>
      <c r="Q75" s="178"/>
      <c r="R75" s="169"/>
      <c r="S75" s="169"/>
      <c r="T75" s="178"/>
      <c r="U75" s="178"/>
      <c r="V75" s="169"/>
      <c r="W75" s="169"/>
      <c r="X75" s="169"/>
      <c r="Y75" s="169"/>
      <c r="Z75" s="169"/>
      <c r="AA75" s="178"/>
      <c r="AB75" s="178"/>
      <c r="AC75" s="169"/>
      <c r="AD75" s="169"/>
      <c r="AE75" s="178"/>
      <c r="AF75" s="178"/>
      <c r="AG75" s="178"/>
      <c r="AH75" s="163"/>
      <c r="AI75" s="173"/>
      <c r="AJ75" s="189"/>
    </row>
    <row r="76" spans="1:36">
      <c r="A76" s="166" t="s">
        <v>311</v>
      </c>
      <c r="B76" s="162"/>
      <c r="C76" s="178"/>
      <c r="D76" s="178"/>
      <c r="E76" s="178"/>
      <c r="F76" s="175"/>
      <c r="G76" s="175"/>
      <c r="H76" s="178"/>
      <c r="I76" s="178"/>
      <c r="J76" s="178"/>
      <c r="K76" s="178"/>
      <c r="L76" s="178"/>
      <c r="M76" s="172"/>
      <c r="N76" s="169"/>
      <c r="O76" s="178"/>
      <c r="P76" s="180"/>
      <c r="Q76" s="178"/>
      <c r="R76" s="169"/>
      <c r="S76" s="169"/>
      <c r="T76" s="178"/>
      <c r="U76" s="178"/>
      <c r="V76" s="178"/>
      <c r="W76" s="178"/>
      <c r="X76" s="178"/>
      <c r="Y76" s="178"/>
      <c r="Z76" s="180"/>
      <c r="AA76" s="178"/>
      <c r="AB76" s="178"/>
      <c r="AC76" s="180">
        <v>282555634</v>
      </c>
      <c r="AD76" s="169"/>
      <c r="AE76" s="178"/>
      <c r="AF76" s="178"/>
      <c r="AG76" s="178"/>
      <c r="AH76" s="163"/>
      <c r="AI76" s="173"/>
      <c r="AJ76" s="189"/>
    </row>
    <row r="77" spans="1:36">
      <c r="A77" s="166" t="s">
        <v>312</v>
      </c>
      <c r="B77" s="162"/>
      <c r="C77" s="178"/>
      <c r="D77" s="178"/>
      <c r="E77" s="178"/>
      <c r="F77" s="175"/>
      <c r="G77" s="175"/>
      <c r="H77" s="178"/>
      <c r="I77" s="178"/>
      <c r="J77" s="178"/>
      <c r="K77" s="178"/>
      <c r="L77" s="178"/>
      <c r="M77" s="172"/>
      <c r="N77" s="169"/>
      <c r="O77" s="178"/>
      <c r="P77" s="180"/>
      <c r="Q77" s="178"/>
      <c r="R77" s="169"/>
      <c r="S77" s="169"/>
      <c r="T77" s="178"/>
      <c r="U77" s="178"/>
      <c r="V77" s="178"/>
      <c r="W77" s="178"/>
      <c r="X77" s="178"/>
      <c r="Y77" s="178"/>
      <c r="Z77" s="180"/>
      <c r="AA77" s="178"/>
      <c r="AB77" s="178"/>
      <c r="AC77" s="180">
        <v>897785149</v>
      </c>
      <c r="AD77" s="169"/>
      <c r="AE77" s="178"/>
      <c r="AF77" s="178"/>
      <c r="AG77" s="178"/>
      <c r="AH77" s="163"/>
      <c r="AI77" s="173"/>
      <c r="AJ77" s="189"/>
    </row>
    <row r="78" spans="1:36">
      <c r="A78" s="166" t="s">
        <v>313</v>
      </c>
      <c r="B78" s="162"/>
      <c r="C78" s="178"/>
      <c r="D78" s="178"/>
      <c r="E78" s="178"/>
      <c r="F78" s="175"/>
      <c r="G78" s="175"/>
      <c r="H78" s="178"/>
      <c r="I78" s="178"/>
      <c r="J78" s="178"/>
      <c r="K78" s="178"/>
      <c r="L78" s="178"/>
      <c r="M78" s="172"/>
      <c r="N78" s="169"/>
      <c r="O78" s="178"/>
      <c r="P78" s="180"/>
      <c r="Q78" s="178"/>
      <c r="R78" s="169"/>
      <c r="S78" s="169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80">
        <v>1525719679</v>
      </c>
      <c r="AE78" s="178"/>
      <c r="AF78" s="178"/>
      <c r="AG78" s="178"/>
      <c r="AH78" s="163"/>
      <c r="AI78" s="173"/>
      <c r="AJ78" s="189"/>
    </row>
    <row r="79" spans="1:36">
      <c r="A79" s="166" t="s">
        <v>314</v>
      </c>
      <c r="B79" s="162"/>
      <c r="C79" s="178"/>
      <c r="D79" s="178"/>
      <c r="E79" s="178"/>
      <c r="F79" s="175"/>
      <c r="G79" s="175"/>
      <c r="H79" s="178"/>
      <c r="I79" s="178"/>
      <c r="J79" s="178"/>
      <c r="K79" s="178"/>
      <c r="L79" s="178"/>
      <c r="M79" s="172"/>
      <c r="N79" s="169"/>
      <c r="O79" s="178"/>
      <c r="P79" s="180"/>
      <c r="Q79" s="178"/>
      <c r="R79" s="169"/>
      <c r="S79" s="169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>
        <v>1262251885</v>
      </c>
      <c r="AH79" s="163"/>
      <c r="AI79" s="173"/>
      <c r="AJ79" s="189"/>
    </row>
    <row r="80" spans="1:36">
      <c r="A80" s="166" t="s">
        <v>315</v>
      </c>
      <c r="B80" s="162"/>
      <c r="C80" s="178"/>
      <c r="D80" s="178"/>
      <c r="E80" s="178"/>
      <c r="F80" s="175"/>
      <c r="G80" s="175"/>
      <c r="H80" s="178"/>
      <c r="I80" s="178"/>
      <c r="J80" s="178"/>
      <c r="K80" s="178"/>
      <c r="L80" s="178"/>
      <c r="M80" s="172"/>
      <c r="N80" s="169"/>
      <c r="O80" s="178"/>
      <c r="P80" s="180"/>
      <c r="Q80" s="178"/>
      <c r="R80" s="169"/>
      <c r="S80" s="169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>
        <v>623694141</v>
      </c>
      <c r="AH80" s="163"/>
      <c r="AI80" s="173"/>
      <c r="AJ80" s="189"/>
    </row>
    <row r="81" spans="1:37">
      <c r="A81" s="166" t="s">
        <v>319</v>
      </c>
      <c r="B81" s="162"/>
      <c r="C81" s="178"/>
      <c r="D81" s="178"/>
      <c r="E81" s="178"/>
      <c r="F81" s="175"/>
      <c r="G81" s="175"/>
      <c r="H81" s="178"/>
      <c r="I81" s="178"/>
      <c r="J81" s="178"/>
      <c r="K81" s="178"/>
      <c r="L81" s="178"/>
      <c r="M81" s="172"/>
      <c r="N81" s="169"/>
      <c r="O81" s="178"/>
      <c r="P81" s="180"/>
      <c r="Q81" s="178"/>
      <c r="R81" s="169"/>
      <c r="S81" s="169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>
        <v>662963457</v>
      </c>
      <c r="AH81" s="163"/>
      <c r="AI81" s="173"/>
      <c r="AJ81" s="189"/>
    </row>
    <row r="82" spans="1:37">
      <c r="A82" s="166" t="s">
        <v>320</v>
      </c>
      <c r="B82" s="162"/>
      <c r="C82" s="178"/>
      <c r="D82" s="178"/>
      <c r="E82" s="178"/>
      <c r="F82" s="175"/>
      <c r="G82" s="175"/>
      <c r="H82" s="178"/>
      <c r="I82" s="178"/>
      <c r="J82" s="178"/>
      <c r="K82" s="178"/>
      <c r="L82" s="178"/>
      <c r="M82" s="172"/>
      <c r="N82" s="169"/>
      <c r="O82" s="178"/>
      <c r="P82" s="180"/>
      <c r="Q82" s="178"/>
      <c r="R82" s="169"/>
      <c r="S82" s="169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>
        <v>199266431</v>
      </c>
      <c r="AH82" s="163"/>
      <c r="AI82" s="173"/>
      <c r="AJ82" s="189"/>
    </row>
    <row r="83" spans="1:37">
      <c r="A83" s="166" t="s">
        <v>296</v>
      </c>
      <c r="B83" s="162"/>
      <c r="C83" s="169"/>
      <c r="D83" s="178"/>
      <c r="E83" s="178"/>
      <c r="F83" s="170"/>
      <c r="G83" s="170"/>
      <c r="H83" s="178"/>
      <c r="I83" s="178"/>
      <c r="J83" s="178"/>
      <c r="K83" s="178"/>
      <c r="L83" s="178"/>
      <c r="M83" s="170"/>
      <c r="N83" s="169"/>
      <c r="O83" s="178"/>
      <c r="P83" s="178"/>
      <c r="Q83" s="180">
        <v>87364026</v>
      </c>
      <c r="R83" s="180"/>
      <c r="S83" s="180"/>
      <c r="T83" s="169"/>
      <c r="U83" s="169"/>
      <c r="V83" s="180"/>
      <c r="W83" s="180"/>
      <c r="X83" s="180"/>
      <c r="Y83" s="180"/>
      <c r="Z83" s="180"/>
      <c r="AA83" s="169"/>
      <c r="AB83" s="169"/>
      <c r="AC83" s="180"/>
      <c r="AD83" s="180"/>
      <c r="AE83" s="180"/>
      <c r="AF83" s="180"/>
      <c r="AG83" s="180"/>
      <c r="AH83" s="163"/>
      <c r="AI83" s="173"/>
      <c r="AJ83" s="189"/>
    </row>
    <row r="84" spans="1:37">
      <c r="A84" s="166" t="s">
        <v>300</v>
      </c>
      <c r="B84" s="162"/>
      <c r="C84" s="169"/>
      <c r="D84" s="169"/>
      <c r="E84" s="169"/>
      <c r="F84" s="170"/>
      <c r="G84" s="170"/>
      <c r="H84" s="178"/>
      <c r="I84" s="178"/>
      <c r="J84" s="178"/>
      <c r="K84" s="178"/>
      <c r="L84" s="178"/>
      <c r="M84" s="170"/>
      <c r="N84" s="169"/>
      <c r="O84" s="178"/>
      <c r="P84" s="178"/>
      <c r="Q84" s="180">
        <f>490961560+21542382</f>
        <v>512503942</v>
      </c>
      <c r="R84" s="169"/>
      <c r="S84" s="169"/>
      <c r="T84" s="176"/>
      <c r="U84" s="176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3"/>
      <c r="AI84" s="173"/>
      <c r="AJ84" s="189"/>
      <c r="AK84" s="150" t="s">
        <v>257</v>
      </c>
    </row>
    <row r="85" spans="1:37">
      <c r="A85" s="166" t="s">
        <v>295</v>
      </c>
      <c r="B85" s="162"/>
      <c r="C85" s="169"/>
      <c r="D85" s="178"/>
      <c r="E85" s="178"/>
      <c r="F85" s="170"/>
      <c r="G85" s="170"/>
      <c r="H85" s="178"/>
      <c r="I85" s="178"/>
      <c r="J85" s="178"/>
      <c r="K85" s="180">
        <v>61416974</v>
      </c>
      <c r="L85" s="169"/>
      <c r="M85" s="170"/>
      <c r="N85" s="169"/>
      <c r="O85" s="169"/>
      <c r="P85" s="169"/>
      <c r="Q85" s="169"/>
      <c r="R85" s="180"/>
      <c r="S85" s="180"/>
      <c r="T85" s="169"/>
      <c r="U85" s="169"/>
      <c r="V85" s="180"/>
      <c r="W85" s="180"/>
      <c r="X85" s="180"/>
      <c r="Y85" s="180"/>
      <c r="Z85" s="180"/>
      <c r="AA85" s="169"/>
      <c r="AB85" s="169"/>
      <c r="AC85" s="180"/>
      <c r="AD85" s="180"/>
      <c r="AE85" s="180"/>
      <c r="AF85" s="180"/>
      <c r="AG85" s="180"/>
      <c r="AH85" s="163"/>
      <c r="AI85" s="173"/>
      <c r="AJ85" s="189"/>
    </row>
    <row r="86" spans="1:37">
      <c r="A86" s="166" t="s">
        <v>316</v>
      </c>
      <c r="B86" s="162"/>
      <c r="C86" s="169"/>
      <c r="D86" s="178"/>
      <c r="E86" s="178"/>
      <c r="F86" s="170"/>
      <c r="G86" s="170"/>
      <c r="H86" s="178"/>
      <c r="I86" s="178"/>
      <c r="J86" s="178"/>
      <c r="K86" s="180"/>
      <c r="L86" s="169"/>
      <c r="M86" s="170"/>
      <c r="N86" s="169"/>
      <c r="O86" s="169"/>
      <c r="P86" s="169"/>
      <c r="Q86" s="169"/>
      <c r="R86" s="180"/>
      <c r="S86" s="180"/>
      <c r="T86" s="169"/>
      <c r="U86" s="169"/>
      <c r="V86" s="178"/>
      <c r="W86" s="178"/>
      <c r="X86" s="178"/>
      <c r="Y86" s="178"/>
      <c r="Z86" s="178"/>
      <c r="AA86" s="169"/>
      <c r="AB86" s="169"/>
      <c r="AC86" s="178"/>
      <c r="AD86" s="178"/>
      <c r="AE86" s="178"/>
      <c r="AF86" s="178"/>
      <c r="AG86" s="178">
        <v>143802460</v>
      </c>
      <c r="AH86" s="163"/>
      <c r="AI86" s="173"/>
      <c r="AJ86" s="189"/>
    </row>
    <row r="87" spans="1:37">
      <c r="A87" s="166" t="s">
        <v>302</v>
      </c>
      <c r="B87" s="162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>
        <v>61003007</v>
      </c>
      <c r="AH87" s="163"/>
      <c r="AI87" s="173"/>
    </row>
    <row r="88" spans="1:37">
      <c r="A88" s="166" t="s">
        <v>301</v>
      </c>
      <c r="B88" s="162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>
        <f>127319117+12869993</f>
        <v>140189110</v>
      </c>
      <c r="AH88" s="163"/>
      <c r="AI88" s="173"/>
    </row>
    <row r="89" spans="1:37">
      <c r="A89" s="166" t="s">
        <v>303</v>
      </c>
      <c r="B89" s="162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>
        <v>149745116</v>
      </c>
      <c r="AH89" s="163"/>
      <c r="AI89" s="173"/>
    </row>
    <row r="90" spans="1:37">
      <c r="A90" s="166" t="s">
        <v>304</v>
      </c>
      <c r="B90" s="162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>
        <f>16444991+3574998+10724994</f>
        <v>30744983</v>
      </c>
      <c r="AH90" s="163"/>
      <c r="AI90" s="173"/>
    </row>
    <row r="91" spans="1:37">
      <c r="A91" s="166" t="s">
        <v>258</v>
      </c>
      <c r="B91" s="162"/>
      <c r="C91" s="168"/>
      <c r="D91" s="168">
        <v>188707075</v>
      </c>
      <c r="E91" s="167"/>
      <c r="F91" s="167"/>
      <c r="G91" s="167"/>
      <c r="H91" s="167"/>
      <c r="I91" s="167"/>
      <c r="J91" s="167"/>
      <c r="K91" s="167"/>
      <c r="L91" s="168">
        <v>473470477</v>
      </c>
      <c r="M91" s="167"/>
      <c r="N91" s="168"/>
      <c r="O91" s="169"/>
      <c r="P91" s="169"/>
      <c r="Q91" s="167"/>
      <c r="R91" s="167"/>
      <c r="S91" s="167"/>
      <c r="T91" s="168"/>
      <c r="U91" s="168"/>
      <c r="V91" s="167"/>
      <c r="W91" s="167"/>
      <c r="X91" s="167"/>
      <c r="Y91" s="167"/>
      <c r="Z91" s="167"/>
      <c r="AA91" s="168"/>
      <c r="AB91" s="168"/>
      <c r="AC91" s="167"/>
      <c r="AD91" s="167"/>
      <c r="AE91" s="167"/>
      <c r="AF91" s="167"/>
      <c r="AG91" s="168">
        <v>534788176</v>
      </c>
      <c r="AH91" s="163"/>
      <c r="AI91" s="173"/>
    </row>
    <row r="92" spans="1:37">
      <c r="A92" s="166" t="s">
        <v>290</v>
      </c>
      <c r="B92" s="162"/>
      <c r="C92" s="168"/>
      <c r="D92" s="167"/>
      <c r="E92" s="167"/>
      <c r="F92" s="167"/>
      <c r="G92" s="167"/>
      <c r="H92" s="168">
        <v>128333980</v>
      </c>
      <c r="I92" s="168"/>
      <c r="J92" s="167"/>
      <c r="K92" s="167"/>
      <c r="L92" s="167"/>
      <c r="M92" s="167"/>
      <c r="N92" s="168"/>
      <c r="O92" s="169"/>
      <c r="P92" s="169"/>
      <c r="Q92" s="169"/>
      <c r="R92" s="169"/>
      <c r="S92" s="169"/>
      <c r="T92" s="168"/>
      <c r="U92" s="168"/>
      <c r="V92" s="169"/>
      <c r="W92" s="169"/>
      <c r="X92" s="169"/>
      <c r="Y92" s="169"/>
      <c r="Z92" s="169"/>
      <c r="AA92" s="168"/>
      <c r="AB92" s="168"/>
      <c r="AC92" s="169"/>
      <c r="AD92" s="169"/>
      <c r="AE92" s="169"/>
      <c r="AF92" s="169"/>
      <c r="AG92" s="169"/>
      <c r="AH92" s="163"/>
      <c r="AI92" s="173"/>
    </row>
    <row r="93" spans="1:37">
      <c r="A93" s="166" t="s">
        <v>291</v>
      </c>
      <c r="B93" s="162"/>
      <c r="C93" s="168"/>
      <c r="D93" s="167"/>
      <c r="E93" s="167"/>
      <c r="F93" s="167"/>
      <c r="G93" s="167"/>
      <c r="H93" s="167"/>
      <c r="I93" s="168">
        <v>224883540</v>
      </c>
      <c r="J93" s="167"/>
      <c r="K93" s="167"/>
      <c r="L93" s="167"/>
      <c r="M93" s="167"/>
      <c r="N93" s="168"/>
      <c r="O93" s="169"/>
      <c r="P93" s="169"/>
      <c r="Q93" s="169"/>
      <c r="R93" s="169"/>
      <c r="S93" s="169"/>
      <c r="T93" s="168"/>
      <c r="U93" s="168"/>
      <c r="V93" s="169"/>
      <c r="W93" s="169"/>
      <c r="X93" s="169"/>
      <c r="Y93" s="169"/>
      <c r="Z93" s="169"/>
      <c r="AA93" s="168"/>
      <c r="AB93" s="168"/>
      <c r="AC93" s="169"/>
      <c r="AD93" s="169"/>
      <c r="AE93" s="169"/>
      <c r="AF93" s="169"/>
      <c r="AG93" s="169"/>
      <c r="AH93" s="163"/>
      <c r="AI93" s="173"/>
    </row>
    <row r="94" spans="1:37">
      <c r="A94" s="166" t="s">
        <v>309</v>
      </c>
      <c r="B94" s="162"/>
      <c r="C94" s="168"/>
      <c r="D94" s="167"/>
      <c r="E94" s="167"/>
      <c r="F94" s="167"/>
      <c r="G94" s="167"/>
      <c r="H94" s="167"/>
      <c r="I94" s="168"/>
      <c r="J94" s="167"/>
      <c r="K94" s="167"/>
      <c r="L94" s="167"/>
      <c r="M94" s="167"/>
      <c r="N94" s="168"/>
      <c r="O94" s="169"/>
      <c r="P94" s="176">
        <v>160038900</v>
      </c>
      <c r="Q94" s="169"/>
      <c r="R94" s="169"/>
      <c r="S94" s="169"/>
      <c r="T94" s="168"/>
      <c r="U94" s="168"/>
      <c r="V94" s="169"/>
      <c r="W94" s="169"/>
      <c r="X94" s="169"/>
      <c r="Y94" s="169"/>
      <c r="Z94" s="169"/>
      <c r="AA94" s="168"/>
      <c r="AB94" s="168"/>
      <c r="AC94" s="169"/>
      <c r="AD94" s="169"/>
      <c r="AE94" s="169"/>
      <c r="AF94" s="169"/>
      <c r="AG94" s="169"/>
      <c r="AH94" s="163"/>
      <c r="AI94" s="173"/>
    </row>
    <row r="95" spans="1:37">
      <c r="A95" s="166" t="s">
        <v>27</v>
      </c>
      <c r="B95" s="162"/>
      <c r="C95" s="167"/>
      <c r="D95" s="167"/>
      <c r="E95" s="167"/>
      <c r="F95" s="167"/>
      <c r="G95" s="168"/>
      <c r="H95" s="167"/>
      <c r="I95" s="167"/>
      <c r="J95" s="174"/>
      <c r="K95" s="174"/>
      <c r="L95" s="174"/>
      <c r="M95" s="180"/>
      <c r="N95" s="169"/>
      <c r="O95" s="169"/>
      <c r="P95" s="169"/>
      <c r="Q95" s="168"/>
      <c r="R95" s="168"/>
      <c r="S95" s="168"/>
      <c r="T95" s="167"/>
      <c r="U95" s="167"/>
      <c r="V95" s="168"/>
      <c r="W95" s="168"/>
      <c r="X95" s="168"/>
      <c r="Y95" s="168"/>
      <c r="Z95" s="168"/>
      <c r="AA95" s="167"/>
      <c r="AB95" s="167"/>
      <c r="AC95" s="168"/>
      <c r="AD95" s="168"/>
      <c r="AE95" s="168"/>
      <c r="AF95" s="168"/>
      <c r="AG95" s="168"/>
      <c r="AH95" s="163">
        <f>SUM(C95:AG95)</f>
        <v>0</v>
      </c>
      <c r="AI95" s="173"/>
    </row>
    <row r="96" spans="1:37">
      <c r="A96" s="187" t="s">
        <v>220</v>
      </c>
      <c r="B96" s="191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70"/>
      <c r="P96" s="170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3"/>
      <c r="AI96" s="173"/>
    </row>
    <row r="97" spans="1:35">
      <c r="A97" s="187" t="s">
        <v>221</v>
      </c>
      <c r="B97" s="191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>
        <v>167000000</v>
      </c>
      <c r="AH97" s="163"/>
      <c r="AI97" s="173"/>
    </row>
    <row r="98" spans="1:35">
      <c r="A98" s="187" t="s">
        <v>222</v>
      </c>
      <c r="B98" s="191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>
        <v>250500</v>
      </c>
      <c r="AH98" s="163"/>
      <c r="AI98" s="173"/>
    </row>
    <row r="99" spans="1:35">
      <c r="A99" s="187" t="s">
        <v>252</v>
      </c>
      <c r="B99" s="191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>
        <v>18300000</v>
      </c>
      <c r="AH99" s="163"/>
      <c r="AI99" s="173"/>
    </row>
    <row r="100" spans="1:35">
      <c r="A100" s="187" t="s">
        <v>262</v>
      </c>
      <c r="B100" s="191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>
        <v>6100000</v>
      </c>
      <c r="AH100" s="163"/>
      <c r="AI100" s="173"/>
    </row>
    <row r="101" spans="1:35">
      <c r="A101" s="187" t="s">
        <v>223</v>
      </c>
      <c r="B101" s="191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>
        <v>66800000</v>
      </c>
      <c r="AH101" s="163"/>
      <c r="AI101" s="173"/>
    </row>
    <row r="102" spans="1:35">
      <c r="A102" s="187" t="s">
        <v>243</v>
      </c>
      <c r="B102" s="191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>
        <v>88825000</v>
      </c>
      <c r="AH102" s="163"/>
      <c r="AI102" s="173"/>
    </row>
    <row r="103" spans="1:35">
      <c r="A103" s="187" t="s">
        <v>244</v>
      </c>
      <c r="B103" s="191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>
        <v>1100000</v>
      </c>
      <c r="AH103" s="163"/>
      <c r="AI103" s="173"/>
    </row>
    <row r="104" spans="1:35">
      <c r="A104" s="187" t="s">
        <v>196</v>
      </c>
      <c r="B104" s="191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>
        <v>83500000</v>
      </c>
      <c r="AH104" s="163"/>
      <c r="AI104" s="173"/>
    </row>
    <row r="105" spans="1:35">
      <c r="A105" s="187" t="s">
        <v>197</v>
      </c>
      <c r="B105" s="191"/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>
        <v>83500000</v>
      </c>
      <c r="AH105" s="163"/>
      <c r="AI105" s="173"/>
    </row>
    <row r="106" spans="1:35">
      <c r="A106" s="187" t="s">
        <v>28</v>
      </c>
      <c r="B106" s="191"/>
      <c r="C106" s="169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67"/>
      <c r="Q106" s="170"/>
      <c r="R106" s="170"/>
      <c r="S106" s="170"/>
      <c r="T106" s="167"/>
      <c r="U106" s="167"/>
      <c r="V106" s="170"/>
      <c r="W106" s="167"/>
      <c r="X106" s="167"/>
      <c r="Y106" s="167"/>
      <c r="Z106" s="167"/>
      <c r="AA106" s="167"/>
      <c r="AB106" s="167"/>
      <c r="AC106" s="167"/>
      <c r="AD106" s="167"/>
      <c r="AE106" s="169"/>
      <c r="AF106" s="169"/>
      <c r="AG106" s="169"/>
      <c r="AH106" s="163">
        <f>SUM(C106:AG106)</f>
        <v>0</v>
      </c>
      <c r="AI106" s="173"/>
    </row>
    <row r="107" spans="1:35">
      <c r="A107" s="166" t="s">
        <v>29</v>
      </c>
      <c r="B107" s="162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7"/>
      <c r="Q107" s="169"/>
      <c r="R107" s="169"/>
      <c r="S107" s="169"/>
      <c r="T107" s="167"/>
      <c r="U107" s="167"/>
      <c r="V107" s="169"/>
      <c r="W107" s="167"/>
      <c r="X107" s="167"/>
      <c r="Y107" s="167"/>
      <c r="Z107" s="167"/>
      <c r="AA107" s="167"/>
      <c r="AB107" s="167"/>
      <c r="AC107" s="167"/>
      <c r="AD107" s="167"/>
      <c r="AE107" s="169"/>
      <c r="AF107" s="169"/>
      <c r="AG107" s="169"/>
      <c r="AH107" s="163">
        <f>SUM(C107:AG107)</f>
        <v>0</v>
      </c>
      <c r="AI107" s="173"/>
    </row>
    <row r="108" spans="1:35">
      <c r="A108" s="166" t="s">
        <v>30</v>
      </c>
      <c r="B108" s="162"/>
      <c r="C108" s="169"/>
      <c r="D108" s="169"/>
      <c r="E108" s="169"/>
      <c r="F108" s="169"/>
      <c r="G108" s="169"/>
      <c r="H108" s="169"/>
      <c r="I108" s="176">
        <v>365600328</v>
      </c>
      <c r="J108" s="169"/>
      <c r="K108" s="169"/>
      <c r="L108" s="169"/>
      <c r="M108" s="169"/>
      <c r="N108" s="169"/>
      <c r="O108" s="169"/>
      <c r="P108" s="167"/>
      <c r="Q108" s="169"/>
      <c r="R108" s="169"/>
      <c r="S108" s="169"/>
      <c r="T108" s="167"/>
      <c r="U108" s="167"/>
      <c r="V108" s="169"/>
      <c r="W108" s="167"/>
      <c r="X108" s="167"/>
      <c r="Y108" s="167"/>
      <c r="Z108" s="167"/>
      <c r="AA108" s="167"/>
      <c r="AB108" s="167"/>
      <c r="AC108" s="167"/>
      <c r="AD108" s="167"/>
      <c r="AE108" s="169"/>
      <c r="AF108" s="169"/>
      <c r="AG108" s="169"/>
      <c r="AH108" s="163">
        <f>SUM(C108:AG108)</f>
        <v>365600328</v>
      </c>
      <c r="AI108" s="173"/>
    </row>
    <row r="109" spans="1:35">
      <c r="A109" s="166" t="s">
        <v>294</v>
      </c>
      <c r="B109" s="162"/>
      <c r="C109" s="176">
        <v>90719750</v>
      </c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7"/>
      <c r="Q109" s="169"/>
      <c r="R109" s="169"/>
      <c r="S109" s="169"/>
      <c r="T109" s="167"/>
      <c r="U109" s="167"/>
      <c r="V109" s="169"/>
      <c r="W109" s="167"/>
      <c r="X109" s="167"/>
      <c r="Y109" s="167"/>
      <c r="Z109" s="167"/>
      <c r="AA109" s="167"/>
      <c r="AB109" s="167"/>
      <c r="AC109" s="167"/>
      <c r="AD109" s="167"/>
      <c r="AE109" s="169"/>
      <c r="AF109" s="169"/>
      <c r="AG109" s="169"/>
      <c r="AH109" s="163"/>
      <c r="AI109" s="173"/>
    </row>
    <row r="110" spans="1:35">
      <c r="A110" s="166" t="s">
        <v>293</v>
      </c>
      <c r="B110" s="162"/>
      <c r="C110" s="178"/>
      <c r="D110" s="178"/>
      <c r="E110" s="178"/>
      <c r="F110" s="169"/>
      <c r="G110" s="169"/>
      <c r="H110" s="178"/>
      <c r="I110" s="178"/>
      <c r="J110" s="178"/>
      <c r="K110" s="178"/>
      <c r="L110" s="178"/>
      <c r="M110" s="169"/>
      <c r="N110" s="169"/>
      <c r="O110" s="180">
        <v>181439500</v>
      </c>
      <c r="P110" s="167"/>
      <c r="Q110" s="169"/>
      <c r="R110" s="169"/>
      <c r="S110" s="169"/>
      <c r="T110" s="167"/>
      <c r="U110" s="168"/>
      <c r="V110" s="169"/>
      <c r="W110" s="167"/>
      <c r="X110" s="167"/>
      <c r="Y110" s="168"/>
      <c r="Z110" s="168"/>
      <c r="AA110" s="168"/>
      <c r="AB110" s="167"/>
      <c r="AC110" s="168"/>
      <c r="AD110" s="167"/>
      <c r="AE110" s="169"/>
      <c r="AF110" s="178"/>
      <c r="AG110" s="178"/>
      <c r="AH110" s="163">
        <f>SUM(C110:AG110)</f>
        <v>181439500</v>
      </c>
      <c r="AI110" s="173"/>
    </row>
    <row r="111" spans="1:35">
      <c r="A111" s="192" t="s">
        <v>46</v>
      </c>
      <c r="B111" s="162"/>
      <c r="C111" s="168"/>
      <c r="D111" s="168"/>
      <c r="E111" s="168"/>
      <c r="F111" s="176"/>
      <c r="G111" s="176"/>
      <c r="H111" s="167"/>
      <c r="I111" s="167"/>
      <c r="J111" s="167"/>
      <c r="K111" s="167"/>
      <c r="L111" s="167"/>
      <c r="M111" s="178"/>
      <c r="N111" s="178"/>
      <c r="O111" s="167"/>
      <c r="P111" s="168">
        <v>42500000</v>
      </c>
      <c r="Q111" s="169"/>
      <c r="R111" s="169"/>
      <c r="S111" s="169"/>
      <c r="T111" s="168"/>
      <c r="U111" s="168"/>
      <c r="V111" s="169"/>
      <c r="W111" s="168">
        <v>428810000</v>
      </c>
      <c r="X111" s="168">
        <v>111627778</v>
      </c>
      <c r="Y111" s="168">
        <v>4860000</v>
      </c>
      <c r="Z111" s="168"/>
      <c r="AA111" s="168"/>
      <c r="AB111" s="172"/>
      <c r="AC111" s="168">
        <v>5164350</v>
      </c>
      <c r="AD111" s="176">
        <v>8194750</v>
      </c>
      <c r="AE111" s="176">
        <v>17070000</v>
      </c>
      <c r="AF111" s="168"/>
      <c r="AG111" s="168"/>
      <c r="AH111" s="163">
        <f>SUM(C111:AG111)</f>
        <v>618226878</v>
      </c>
      <c r="AI111" s="173"/>
    </row>
    <row r="112" spans="1:35">
      <c r="A112" s="192" t="s">
        <v>47</v>
      </c>
      <c r="B112" s="162"/>
      <c r="C112" s="168"/>
      <c r="D112" s="168"/>
      <c r="E112" s="168"/>
      <c r="F112" s="176"/>
      <c r="G112" s="176"/>
      <c r="H112" s="167"/>
      <c r="I112" s="167"/>
      <c r="J112" s="167"/>
      <c r="K112" s="167"/>
      <c r="L112" s="167"/>
      <c r="M112" s="178"/>
      <c r="N112" s="178"/>
      <c r="O112" s="167"/>
      <c r="P112" s="167"/>
      <c r="Q112" s="169"/>
      <c r="R112" s="169"/>
      <c r="S112" s="169"/>
      <c r="T112" s="168"/>
      <c r="U112" s="168"/>
      <c r="V112" s="169"/>
      <c r="W112" s="167"/>
      <c r="X112" s="167"/>
      <c r="Y112" s="168"/>
      <c r="Z112" s="168"/>
      <c r="AA112" s="168"/>
      <c r="AB112" s="172"/>
      <c r="AC112" s="168"/>
      <c r="AD112" s="176">
        <v>35000000</v>
      </c>
      <c r="AE112" s="168"/>
      <c r="AF112" s="168"/>
      <c r="AG112" s="168"/>
      <c r="AH112" s="163"/>
      <c r="AI112" s="173"/>
    </row>
    <row r="113" spans="1:37">
      <c r="A113" s="192" t="s">
        <v>213</v>
      </c>
      <c r="B113" s="162"/>
      <c r="C113" s="168"/>
      <c r="D113" s="168"/>
      <c r="E113" s="168">
        <v>500000000</v>
      </c>
      <c r="F113" s="164"/>
      <c r="G113" s="171"/>
      <c r="H113" s="167"/>
      <c r="I113" s="167"/>
      <c r="J113" s="167"/>
      <c r="K113" s="167"/>
      <c r="L113" s="168">
        <v>750000000</v>
      </c>
      <c r="M113" s="168"/>
      <c r="N113" s="168"/>
      <c r="O113" s="169"/>
      <c r="P113" s="167"/>
      <c r="Q113" s="176"/>
      <c r="R113" s="176"/>
      <c r="S113" s="176"/>
      <c r="T113" s="168"/>
      <c r="U113" s="176"/>
      <c r="V113" s="176">
        <v>2000000000</v>
      </c>
      <c r="W113" s="167"/>
      <c r="X113" s="167"/>
      <c r="Y113" s="168"/>
      <c r="Z113" s="168"/>
      <c r="AA113" s="168"/>
      <c r="AB113" s="176"/>
      <c r="AC113" s="168">
        <v>1500000000</v>
      </c>
      <c r="AD113" s="168"/>
      <c r="AE113" s="168"/>
      <c r="AF113" s="168"/>
      <c r="AG113" s="168"/>
      <c r="AH113" s="163">
        <f>SUM(F113:AG113)</f>
        <v>4250000000</v>
      </c>
      <c r="AI113" s="173"/>
    </row>
    <row r="114" spans="1:37">
      <c r="A114" s="192" t="s">
        <v>119</v>
      </c>
      <c r="B114" s="162"/>
      <c r="C114" s="194"/>
      <c r="D114" s="194"/>
      <c r="E114" s="194"/>
      <c r="F114" s="169"/>
      <c r="G114" s="169"/>
      <c r="H114" s="178"/>
      <c r="I114" s="178"/>
      <c r="J114" s="178"/>
      <c r="K114" s="178"/>
      <c r="L114" s="178"/>
      <c r="M114" s="169"/>
      <c r="N114" s="169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  <c r="Y114" s="178"/>
      <c r="Z114" s="178"/>
      <c r="AA114" s="178"/>
      <c r="AB114" s="178"/>
      <c r="AC114" s="178"/>
      <c r="AD114" s="178"/>
      <c r="AE114" s="178"/>
      <c r="AF114" s="178"/>
      <c r="AG114" s="178">
        <v>7000000000</v>
      </c>
      <c r="AH114" s="163"/>
      <c r="AI114" s="173"/>
    </row>
    <row r="115" spans="1:37">
      <c r="A115" s="195" t="s">
        <v>32</v>
      </c>
      <c r="B115" s="196"/>
      <c r="C115" s="197">
        <f t="shared" ref="C115:AH115" si="0">SUM(C7:C114)</f>
        <v>899334264</v>
      </c>
      <c r="D115" s="197">
        <f t="shared" si="0"/>
        <v>188707075</v>
      </c>
      <c r="E115" s="197">
        <f t="shared" si="0"/>
        <v>2035494924</v>
      </c>
      <c r="F115" s="197">
        <f t="shared" si="0"/>
        <v>0</v>
      </c>
      <c r="G115" s="197">
        <f t="shared" si="0"/>
        <v>0</v>
      </c>
      <c r="H115" s="197">
        <f t="shared" si="0"/>
        <v>537835523</v>
      </c>
      <c r="I115" s="197">
        <f t="shared" si="0"/>
        <v>1337894107</v>
      </c>
      <c r="J115" s="197">
        <f t="shared" si="0"/>
        <v>166879199</v>
      </c>
      <c r="K115" s="197">
        <f t="shared" si="0"/>
        <v>351416974</v>
      </c>
      <c r="L115" s="197">
        <f t="shared" si="0"/>
        <v>1223470477</v>
      </c>
      <c r="M115" s="197">
        <f t="shared" si="0"/>
        <v>0</v>
      </c>
      <c r="N115" s="197">
        <f t="shared" si="0"/>
        <v>0</v>
      </c>
      <c r="O115" s="197">
        <f t="shared" si="0"/>
        <v>1531282140</v>
      </c>
      <c r="P115" s="197">
        <f t="shared" si="0"/>
        <v>2119781272</v>
      </c>
      <c r="Q115" s="197">
        <f t="shared" si="0"/>
        <v>1496430778</v>
      </c>
      <c r="R115" s="197">
        <f t="shared" si="0"/>
        <v>0</v>
      </c>
      <c r="S115" s="197">
        <f t="shared" si="0"/>
        <v>147439497</v>
      </c>
      <c r="T115" s="197">
        <f t="shared" si="0"/>
        <v>0</v>
      </c>
      <c r="U115" s="197">
        <f t="shared" si="0"/>
        <v>0</v>
      </c>
      <c r="V115" s="197">
        <f t="shared" si="0"/>
        <v>2358770351</v>
      </c>
      <c r="W115" s="197">
        <f t="shared" si="0"/>
        <v>428810000</v>
      </c>
      <c r="X115" s="197">
        <f t="shared" si="0"/>
        <v>113765198</v>
      </c>
      <c r="Y115" s="197">
        <f t="shared" si="0"/>
        <v>12447968</v>
      </c>
      <c r="Z115" s="197">
        <f t="shared" si="0"/>
        <v>0</v>
      </c>
      <c r="AA115" s="197">
        <f t="shared" si="0"/>
        <v>0</v>
      </c>
      <c r="AB115" s="197">
        <f t="shared" si="0"/>
        <v>138667175</v>
      </c>
      <c r="AC115" s="197">
        <f t="shared" si="0"/>
        <v>3510229019</v>
      </c>
      <c r="AD115" s="197">
        <f t="shared" si="0"/>
        <v>1568914429</v>
      </c>
      <c r="AE115" s="197">
        <f t="shared" si="0"/>
        <v>17070000</v>
      </c>
      <c r="AF115" s="197">
        <f t="shared" si="0"/>
        <v>0</v>
      </c>
      <c r="AG115" s="197">
        <f t="shared" si="0"/>
        <v>16274719448</v>
      </c>
      <c r="AH115" s="198">
        <f t="shared" si="0"/>
        <v>10640496948</v>
      </c>
    </row>
    <row r="116" spans="1:37">
      <c r="A116" s="199"/>
      <c r="B116" s="162"/>
      <c r="C116" s="200"/>
      <c r="D116" s="200"/>
      <c r="E116" s="165"/>
      <c r="F116" s="165"/>
      <c r="G116" s="165"/>
      <c r="H116" s="165"/>
      <c r="I116" s="165"/>
      <c r="J116" s="200"/>
      <c r="K116" s="200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90">
        <v>0</v>
      </c>
      <c r="X116" s="190">
        <v>0</v>
      </c>
      <c r="Y116" s="190">
        <v>0</v>
      </c>
      <c r="Z116" s="190">
        <v>0</v>
      </c>
      <c r="AA116" s="190">
        <v>0</v>
      </c>
      <c r="AB116" s="190">
        <v>0</v>
      </c>
      <c r="AC116" s="165"/>
      <c r="AD116" s="165"/>
      <c r="AE116" s="165"/>
      <c r="AF116" s="165"/>
      <c r="AG116" s="165"/>
      <c r="AH116" s="201"/>
      <c r="AI116" s="154"/>
    </row>
    <row r="117" spans="1:37">
      <c r="A117" s="202" t="s">
        <v>33</v>
      </c>
      <c r="B117" s="162"/>
      <c r="C117" s="200"/>
      <c r="D117" s="200"/>
      <c r="E117" s="165"/>
      <c r="F117" s="165"/>
      <c r="G117" s="165"/>
      <c r="H117" s="165"/>
      <c r="I117" s="165"/>
      <c r="J117" s="200"/>
      <c r="K117" s="200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200"/>
      <c r="AB117" s="200"/>
      <c r="AC117" s="165"/>
      <c r="AD117" s="165"/>
      <c r="AE117" s="165"/>
      <c r="AF117" s="165"/>
      <c r="AG117" s="165"/>
      <c r="AH117" s="201"/>
      <c r="AI117" s="154"/>
    </row>
    <row r="118" spans="1:37">
      <c r="A118" s="203" t="s">
        <v>34</v>
      </c>
      <c r="B118" s="204">
        <v>0</v>
      </c>
      <c r="C118" s="205"/>
      <c r="D118" s="200"/>
      <c r="E118" s="200">
        <v>1792968689</v>
      </c>
      <c r="F118" s="204"/>
      <c r="G118" s="204"/>
      <c r="H118" s="204"/>
      <c r="I118" s="200"/>
      <c r="J118" s="200"/>
      <c r="K118" s="200">
        <v>2236616296</v>
      </c>
      <c r="L118" s="204"/>
      <c r="M118" s="200"/>
      <c r="N118" s="200"/>
      <c r="O118" s="206"/>
      <c r="P118" s="200"/>
      <c r="Q118" s="200"/>
      <c r="R118" s="200"/>
      <c r="S118" s="200">
        <v>1037949159</v>
      </c>
      <c r="T118" s="200"/>
      <c r="U118" s="207"/>
      <c r="V118" s="204"/>
      <c r="W118" s="204"/>
      <c r="X118" s="200"/>
      <c r="Y118" s="200"/>
      <c r="Z118" s="200">
        <v>870506284</v>
      </c>
      <c r="AA118" s="200"/>
      <c r="AB118" s="200"/>
      <c r="AC118" s="204"/>
      <c r="AD118" s="200"/>
      <c r="AE118" s="200"/>
      <c r="AF118" s="205"/>
      <c r="AG118" s="204"/>
      <c r="AH118" s="201">
        <f>SUM(C118:AG118)</f>
        <v>5938040428</v>
      </c>
      <c r="AI118" s="173"/>
    </row>
    <row r="119" spans="1:37">
      <c r="A119" s="203" t="s">
        <v>198</v>
      </c>
      <c r="B119" s="204"/>
      <c r="C119" s="205"/>
      <c r="D119" s="200"/>
      <c r="E119" s="205">
        <v>13447265</v>
      </c>
      <c r="F119" s="204"/>
      <c r="G119" s="204"/>
      <c r="H119" s="204"/>
      <c r="I119" s="200"/>
      <c r="J119" s="200"/>
      <c r="K119" s="200">
        <v>13419698</v>
      </c>
      <c r="L119" s="204"/>
      <c r="M119" s="200"/>
      <c r="N119" s="200"/>
      <c r="O119" s="206"/>
      <c r="P119" s="200"/>
      <c r="Q119" s="200"/>
      <c r="R119" s="200"/>
      <c r="S119" s="200">
        <v>6487182</v>
      </c>
      <c r="T119" s="200"/>
      <c r="U119" s="207"/>
      <c r="V119" s="204"/>
      <c r="W119" s="204"/>
      <c r="X119" s="200"/>
      <c r="Y119" s="200"/>
      <c r="Z119" s="200">
        <v>3917278</v>
      </c>
      <c r="AA119" s="200"/>
      <c r="AB119" s="200"/>
      <c r="AC119" s="200"/>
      <c r="AD119" s="200"/>
      <c r="AE119" s="200"/>
      <c r="AF119" s="205"/>
      <c r="AG119" s="204"/>
      <c r="AH119" s="201"/>
      <c r="AI119" s="173"/>
    </row>
    <row r="120" spans="1:37">
      <c r="A120" s="203" t="s">
        <v>227</v>
      </c>
      <c r="B120" s="204"/>
      <c r="C120" s="205"/>
      <c r="D120" s="200"/>
      <c r="E120" s="205">
        <v>1565618907</v>
      </c>
      <c r="F120" s="204"/>
      <c r="G120" s="204"/>
      <c r="H120" s="200">
        <v>1346134859</v>
      </c>
      <c r="I120" s="200"/>
      <c r="J120" s="200"/>
      <c r="K120" s="200">
        <v>2416880949</v>
      </c>
      <c r="L120" s="204"/>
      <c r="M120" s="200"/>
      <c r="N120" s="200"/>
      <c r="O120" s="205">
        <v>1440300152</v>
      </c>
      <c r="P120" s="200">
        <v>1216605536</v>
      </c>
      <c r="Q120" s="200"/>
      <c r="R120" s="200"/>
      <c r="S120" s="200">
        <v>1551928161</v>
      </c>
      <c r="T120" s="200"/>
      <c r="U120" s="207"/>
      <c r="V120" s="204"/>
      <c r="W120" s="200">
        <v>614789999</v>
      </c>
      <c r="X120" s="200"/>
      <c r="Y120" s="200"/>
      <c r="Z120" s="200"/>
      <c r="AA120" s="200"/>
      <c r="AB120" s="200"/>
      <c r="AC120" s="200">
        <v>1706892143</v>
      </c>
      <c r="AD120" s="200"/>
      <c r="AE120" s="207">
        <v>4608612215</v>
      </c>
      <c r="AF120" s="205"/>
      <c r="AG120" s="204"/>
      <c r="AH120" s="201"/>
      <c r="AI120" s="173"/>
    </row>
    <row r="121" spans="1:37">
      <c r="A121" s="203" t="s">
        <v>227</v>
      </c>
      <c r="B121" s="204"/>
      <c r="C121" s="205"/>
      <c r="D121" s="200"/>
      <c r="E121" s="205"/>
      <c r="F121" s="204"/>
      <c r="G121" s="204"/>
      <c r="H121" s="200"/>
      <c r="I121" s="200"/>
      <c r="J121" s="200"/>
      <c r="K121" s="200"/>
      <c r="L121" s="204"/>
      <c r="M121" s="200"/>
      <c r="N121" s="200"/>
      <c r="O121" s="205"/>
      <c r="P121" s="200"/>
      <c r="Q121" s="200"/>
      <c r="R121" s="200"/>
      <c r="S121" s="200">
        <v>3514626414</v>
      </c>
      <c r="T121" s="200"/>
      <c r="U121" s="207"/>
      <c r="V121" s="204"/>
      <c r="W121" s="200">
        <v>3503993</v>
      </c>
      <c r="X121" s="200"/>
      <c r="Y121" s="200"/>
      <c r="Z121" s="200"/>
      <c r="AA121" s="200"/>
      <c r="AB121" s="200"/>
      <c r="AC121" s="200"/>
      <c r="AD121" s="200"/>
      <c r="AE121" s="207"/>
      <c r="AF121" s="205"/>
      <c r="AG121" s="204"/>
      <c r="AH121" s="201"/>
      <c r="AI121" s="173"/>
    </row>
    <row r="122" spans="1:37">
      <c r="A122" s="203" t="s">
        <v>199</v>
      </c>
      <c r="B122" s="204"/>
      <c r="C122" s="208"/>
      <c r="D122" s="164"/>
      <c r="E122" s="205">
        <v>10843702</v>
      </c>
      <c r="F122" s="200"/>
      <c r="G122" s="200"/>
      <c r="H122" s="164">
        <v>7972110</v>
      </c>
      <c r="I122" s="200"/>
      <c r="J122" s="164"/>
      <c r="K122" s="164">
        <v>15131380</v>
      </c>
      <c r="L122" s="200"/>
      <c r="M122" s="200"/>
      <c r="N122" s="200"/>
      <c r="O122" s="205">
        <v>9187464</v>
      </c>
      <c r="P122" s="200">
        <v>6650777</v>
      </c>
      <c r="Q122" s="176"/>
      <c r="R122" s="205"/>
      <c r="S122" s="200">
        <v>30399600</v>
      </c>
      <c r="T122" s="200"/>
      <c r="U122" s="207"/>
      <c r="V122" s="200"/>
      <c r="W122" s="200"/>
      <c r="X122" s="200"/>
      <c r="Y122" s="200"/>
      <c r="Z122" s="200"/>
      <c r="AA122" s="200"/>
      <c r="AB122" s="164"/>
      <c r="AC122" s="200">
        <v>10824642</v>
      </c>
      <c r="AD122" s="180"/>
      <c r="AE122" s="207">
        <v>27911516</v>
      </c>
      <c r="AF122" s="205"/>
      <c r="AG122" s="204"/>
      <c r="AH122" s="201"/>
      <c r="AI122" s="173"/>
      <c r="AK122" s="150" t="s">
        <v>253</v>
      </c>
    </row>
    <row r="123" spans="1:37">
      <c r="A123" s="203" t="s">
        <v>228</v>
      </c>
      <c r="B123" s="204"/>
      <c r="C123" s="205"/>
      <c r="D123" s="205"/>
      <c r="E123" s="205"/>
      <c r="F123" s="200"/>
      <c r="G123" s="200"/>
      <c r="H123" s="200">
        <v>1655002961</v>
      </c>
      <c r="I123" s="204"/>
      <c r="J123" s="200"/>
      <c r="K123" s="200"/>
      <c r="L123" s="210"/>
      <c r="M123" s="200"/>
      <c r="N123" s="200"/>
      <c r="O123" s="205">
        <v>1096282359</v>
      </c>
      <c r="P123" s="205"/>
      <c r="Q123" s="200"/>
      <c r="R123" s="200"/>
      <c r="S123" s="200"/>
      <c r="T123" s="200"/>
      <c r="U123" s="209"/>
      <c r="V123" s="204"/>
      <c r="W123" s="200"/>
      <c r="X123" s="200"/>
      <c r="Y123" s="176"/>
      <c r="Z123" s="200"/>
      <c r="AA123" s="200"/>
      <c r="AB123" s="200"/>
      <c r="AC123" s="200">
        <v>3789493077</v>
      </c>
      <c r="AD123" s="204"/>
      <c r="AE123" s="200">
        <v>2898087222</v>
      </c>
      <c r="AF123" s="205"/>
      <c r="AG123" s="204"/>
      <c r="AH123" s="201"/>
      <c r="AI123" s="173"/>
    </row>
    <row r="124" spans="1:37">
      <c r="A124" s="203" t="s">
        <v>200</v>
      </c>
      <c r="B124" s="204"/>
      <c r="C124" s="205"/>
      <c r="D124" s="205"/>
      <c r="E124" s="205"/>
      <c r="F124" s="200"/>
      <c r="G124" s="200"/>
      <c r="H124" s="200">
        <v>10757519</v>
      </c>
      <c r="I124" s="204"/>
      <c r="J124" s="200"/>
      <c r="K124" s="200"/>
      <c r="L124" s="210"/>
      <c r="M124" s="200"/>
      <c r="N124" s="200"/>
      <c r="O124" s="205">
        <v>7125835</v>
      </c>
      <c r="P124" s="205"/>
      <c r="Q124" s="200"/>
      <c r="R124" s="200"/>
      <c r="S124" s="200"/>
      <c r="T124" s="200"/>
      <c r="U124" s="205"/>
      <c r="V124" s="204"/>
      <c r="W124" s="200"/>
      <c r="X124" s="200"/>
      <c r="Y124" s="176"/>
      <c r="Z124" s="200"/>
      <c r="AA124" s="200"/>
      <c r="AB124" s="200"/>
      <c r="AC124" s="200">
        <v>24631705</v>
      </c>
      <c r="AD124" s="204"/>
      <c r="AE124" s="200">
        <v>18113045</v>
      </c>
      <c r="AF124" s="205"/>
      <c r="AG124" s="204"/>
      <c r="AH124" s="201"/>
      <c r="AI124" s="173"/>
    </row>
    <row r="125" spans="1:37">
      <c r="A125" s="203" t="s">
        <v>36</v>
      </c>
      <c r="B125" s="204"/>
      <c r="C125" s="205"/>
      <c r="D125" s="205"/>
      <c r="E125" s="205">
        <v>995287357</v>
      </c>
      <c r="F125" s="200"/>
      <c r="G125" s="200"/>
      <c r="H125" s="204"/>
      <c r="I125" s="204"/>
      <c r="J125" s="200"/>
      <c r="K125" s="200">
        <v>2342951146</v>
      </c>
      <c r="L125" s="210"/>
      <c r="M125" s="200"/>
      <c r="N125" s="200"/>
      <c r="O125" s="206"/>
      <c r="P125" s="205">
        <v>4092576627</v>
      </c>
      <c r="Q125" s="200"/>
      <c r="R125" s="200"/>
      <c r="S125" s="200"/>
      <c r="T125" s="200"/>
      <c r="U125" s="205"/>
      <c r="V125" s="204"/>
      <c r="W125" s="200">
        <v>3809426449</v>
      </c>
      <c r="X125" s="200"/>
      <c r="Y125" s="176"/>
      <c r="Z125" s="200">
        <v>4569776967</v>
      </c>
      <c r="AA125" s="200"/>
      <c r="AB125" s="200"/>
      <c r="AC125" s="200"/>
      <c r="AD125" s="204"/>
      <c r="AE125" s="200"/>
      <c r="AF125" s="205"/>
      <c r="AG125" s="204"/>
      <c r="AH125" s="201"/>
      <c r="AI125" s="173"/>
    </row>
    <row r="126" spans="1:37">
      <c r="A126" s="203" t="s">
        <v>36</v>
      </c>
      <c r="B126" s="204"/>
      <c r="C126" s="205"/>
      <c r="D126" s="205"/>
      <c r="E126" s="205"/>
      <c r="F126" s="200"/>
      <c r="G126" s="200"/>
      <c r="H126" s="204"/>
      <c r="I126" s="204"/>
      <c r="J126" s="200"/>
      <c r="K126" s="200"/>
      <c r="L126" s="210"/>
      <c r="M126" s="200"/>
      <c r="N126" s="200"/>
      <c r="O126" s="206"/>
      <c r="P126" s="205"/>
      <c r="Q126" s="200"/>
      <c r="R126" s="200"/>
      <c r="S126" s="200"/>
      <c r="T126" s="200"/>
      <c r="U126" s="205"/>
      <c r="V126" s="204"/>
      <c r="W126" s="200"/>
      <c r="X126" s="200"/>
      <c r="Y126" s="176"/>
      <c r="Z126" s="200">
        <v>4615151914</v>
      </c>
      <c r="AA126" s="200"/>
      <c r="AB126" s="200"/>
      <c r="AC126" s="200"/>
      <c r="AD126" s="204"/>
      <c r="AE126" s="200"/>
      <c r="AF126" s="205"/>
      <c r="AG126" s="204"/>
      <c r="AH126" s="201"/>
      <c r="AI126" s="173"/>
    </row>
    <row r="127" spans="1:37">
      <c r="A127" s="203" t="s">
        <v>242</v>
      </c>
      <c r="B127" s="204"/>
      <c r="C127" s="205"/>
      <c r="D127" s="205"/>
      <c r="E127" s="205">
        <v>6531573</v>
      </c>
      <c r="F127" s="200"/>
      <c r="G127" s="200"/>
      <c r="H127" s="204"/>
      <c r="I127" s="204"/>
      <c r="J127" s="200"/>
      <c r="K127" s="200">
        <v>14806150</v>
      </c>
      <c r="L127" s="210"/>
      <c r="M127" s="200"/>
      <c r="N127" s="200"/>
      <c r="O127" s="206"/>
      <c r="P127" s="205">
        <v>23873364</v>
      </c>
      <c r="Q127" s="200"/>
      <c r="R127" s="200"/>
      <c r="S127" s="200"/>
      <c r="T127" s="200"/>
      <c r="U127" s="205"/>
      <c r="V127" s="204"/>
      <c r="W127" s="200">
        <v>24999361</v>
      </c>
      <c r="X127" s="200"/>
      <c r="Y127" s="176"/>
      <c r="Z127" s="200">
        <v>60276096</v>
      </c>
      <c r="AA127" s="200"/>
      <c r="AB127" s="200"/>
      <c r="AC127" s="204"/>
      <c r="AD127" s="204"/>
      <c r="AE127" s="200"/>
      <c r="AF127" s="205"/>
      <c r="AG127" s="204"/>
      <c r="AH127" s="201"/>
      <c r="AI127" s="173"/>
    </row>
    <row r="128" spans="1:37">
      <c r="A128" s="162" t="s">
        <v>53</v>
      </c>
      <c r="B128" s="204">
        <v>0</v>
      </c>
      <c r="C128" s="205"/>
      <c r="D128" s="180"/>
      <c r="E128" s="205"/>
      <c r="F128" s="200"/>
      <c r="G128" s="200"/>
      <c r="H128" s="200">
        <v>1007235768</v>
      </c>
      <c r="I128" s="204"/>
      <c r="J128" s="200"/>
      <c r="K128" s="200"/>
      <c r="L128" s="210">
        <v>654892692</v>
      </c>
      <c r="M128" s="200"/>
      <c r="N128" s="180"/>
      <c r="O128" s="176"/>
      <c r="P128" s="180"/>
      <c r="Q128" s="200"/>
      <c r="R128" s="200"/>
      <c r="T128" s="200"/>
      <c r="U128" s="176"/>
      <c r="V128" s="169"/>
      <c r="W128" s="200"/>
      <c r="X128" s="176"/>
      <c r="Y128" s="200"/>
      <c r="Z128" s="200"/>
      <c r="AA128" s="200"/>
      <c r="AB128" s="164"/>
      <c r="AC128" s="200"/>
      <c r="AD128" s="200"/>
      <c r="AE128" s="200"/>
      <c r="AF128" s="205"/>
      <c r="AG128" s="200"/>
      <c r="AH128" s="201">
        <f>SUM(C128:AG128)</f>
        <v>1662128460</v>
      </c>
      <c r="AI128" s="173"/>
    </row>
    <row r="129" spans="1:35">
      <c r="A129" s="162" t="s">
        <v>54</v>
      </c>
      <c r="B129" s="204"/>
      <c r="C129" s="205"/>
      <c r="D129" s="205"/>
      <c r="E129" s="180"/>
      <c r="F129" s="200"/>
      <c r="G129" s="200"/>
      <c r="H129" s="200">
        <v>1105320592</v>
      </c>
      <c r="I129" s="204"/>
      <c r="J129" s="200"/>
      <c r="K129" s="200"/>
      <c r="L129" s="210"/>
      <c r="M129" s="200"/>
      <c r="N129" s="200"/>
      <c r="O129" s="205"/>
      <c r="P129" s="180"/>
      <c r="Q129" s="200"/>
      <c r="R129" s="200"/>
      <c r="S129" s="200"/>
      <c r="T129" s="200"/>
      <c r="U129" s="205"/>
      <c r="V129" s="169"/>
      <c r="W129" s="180"/>
      <c r="X129" s="169"/>
      <c r="Y129" s="200"/>
      <c r="Z129" s="180"/>
      <c r="AA129" s="200"/>
      <c r="AB129" s="200"/>
      <c r="AC129" s="204"/>
      <c r="AD129" s="200"/>
      <c r="AE129" s="200"/>
      <c r="AF129" s="205"/>
      <c r="AG129" s="204"/>
      <c r="AH129" s="201">
        <f>SUM(C129:AG129)</f>
        <v>1105320592</v>
      </c>
      <c r="AI129" s="173">
        <v>1</v>
      </c>
    </row>
    <row r="130" spans="1:35">
      <c r="A130" s="162" t="s">
        <v>203</v>
      </c>
      <c r="B130" s="204"/>
      <c r="C130" s="205"/>
      <c r="D130" s="205"/>
      <c r="E130" s="180"/>
      <c r="F130" s="200"/>
      <c r="G130" s="200"/>
      <c r="H130" s="204"/>
      <c r="I130" s="205"/>
      <c r="J130" s="200"/>
      <c r="K130" s="200"/>
      <c r="L130" s="210"/>
      <c r="M130" s="200"/>
      <c r="N130" s="200"/>
      <c r="O130" s="205">
        <v>45056121</v>
      </c>
      <c r="P130" s="180"/>
      <c r="Q130" s="200"/>
      <c r="R130" s="200"/>
      <c r="S130" s="200"/>
      <c r="T130" s="200"/>
      <c r="U130" s="205"/>
      <c r="V130" s="176"/>
      <c r="W130" s="180"/>
      <c r="X130" s="169"/>
      <c r="Y130" s="200"/>
      <c r="Z130" s="180"/>
      <c r="AA130" s="200"/>
      <c r="AB130" s="200"/>
      <c r="AC130" s="204"/>
      <c r="AD130" s="200"/>
      <c r="AE130" s="205"/>
      <c r="AF130" s="205"/>
      <c r="AG130" s="204"/>
      <c r="AH130" s="201"/>
      <c r="AI130" s="173"/>
    </row>
    <row r="131" spans="1:35">
      <c r="A131" s="162" t="s">
        <v>203</v>
      </c>
      <c r="B131" s="204"/>
      <c r="C131" s="205"/>
      <c r="D131" s="205"/>
      <c r="E131" s="180"/>
      <c r="F131" s="200"/>
      <c r="G131" s="200"/>
      <c r="H131" s="204"/>
      <c r="I131" s="205"/>
      <c r="J131" s="200"/>
      <c r="K131" s="200"/>
      <c r="L131" s="210"/>
      <c r="M131" s="200"/>
      <c r="N131" s="200"/>
      <c r="O131" s="205"/>
      <c r="P131" s="180"/>
      <c r="Q131" s="200"/>
      <c r="R131" s="200"/>
      <c r="S131" s="200"/>
      <c r="T131" s="200"/>
      <c r="U131" s="205"/>
      <c r="V131" s="176"/>
      <c r="W131" s="180"/>
      <c r="X131" s="169"/>
      <c r="Y131" s="200"/>
      <c r="Z131" s="180"/>
      <c r="AA131" s="200"/>
      <c r="AB131" s="200"/>
      <c r="AC131" s="204"/>
      <c r="AD131" s="200"/>
      <c r="AE131" s="205"/>
      <c r="AF131" s="205"/>
      <c r="AG131" s="204"/>
      <c r="AH131" s="201"/>
      <c r="AI131" s="173"/>
    </row>
    <row r="132" spans="1:35">
      <c r="A132" s="162" t="s">
        <v>37</v>
      </c>
      <c r="B132" s="204">
        <v>0</v>
      </c>
      <c r="C132" s="180"/>
      <c r="D132" s="200"/>
      <c r="E132" s="180"/>
      <c r="F132" s="164"/>
      <c r="G132" s="180"/>
      <c r="H132" s="200">
        <v>1615981840</v>
      </c>
      <c r="I132" s="180">
        <v>532228023</v>
      </c>
      <c r="J132" s="200">
        <v>463295847</v>
      </c>
      <c r="K132" s="200"/>
      <c r="L132" s="210"/>
      <c r="M132" s="200"/>
      <c r="N132" s="200"/>
      <c r="O132" s="205"/>
      <c r="P132" s="176"/>
      <c r="Q132" s="200"/>
      <c r="R132" s="200">
        <v>853482652</v>
      </c>
      <c r="S132" s="200">
        <v>1186391842</v>
      </c>
      <c r="T132" s="200"/>
      <c r="U132" s="176"/>
      <c r="V132" s="176">
        <v>1089967459</v>
      </c>
      <c r="W132" s="200"/>
      <c r="X132" s="176"/>
      <c r="Y132" s="180"/>
      <c r="Z132" s="200">
        <v>859757153</v>
      </c>
      <c r="AA132" s="200"/>
      <c r="AB132" s="172"/>
      <c r="AC132" s="200"/>
      <c r="AD132" s="200"/>
      <c r="AE132" s="176">
        <v>1364218701</v>
      </c>
      <c r="AF132" s="176">
        <v>2280397188</v>
      </c>
      <c r="AG132" s="200">
        <v>2665932041</v>
      </c>
      <c r="AH132" s="201">
        <f>SUM(D132:AG132)</f>
        <v>12911652746</v>
      </c>
      <c r="AI132" s="173"/>
    </row>
    <row r="133" spans="1:35">
      <c r="A133" s="162" t="s">
        <v>38</v>
      </c>
      <c r="B133" s="204">
        <v>0</v>
      </c>
      <c r="C133" s="176"/>
      <c r="D133" s="176"/>
      <c r="E133" s="180"/>
      <c r="F133" s="200"/>
      <c r="G133" s="200"/>
      <c r="H133" s="200">
        <v>854525501</v>
      </c>
      <c r="I133" s="205">
        <v>775533629</v>
      </c>
      <c r="J133" s="200"/>
      <c r="K133" s="180"/>
      <c r="L133" s="210"/>
      <c r="M133" s="200"/>
      <c r="N133" s="180"/>
      <c r="O133" s="180"/>
      <c r="P133" s="205"/>
      <c r="Q133" s="174"/>
      <c r="R133" s="176"/>
      <c r="S133" s="200"/>
      <c r="T133" s="169"/>
      <c r="U133" s="205"/>
      <c r="V133" s="176"/>
      <c r="W133" s="180"/>
      <c r="X133" s="169"/>
      <c r="Y133" s="180"/>
      <c r="Z133" s="174"/>
      <c r="AA133" s="200"/>
      <c r="AB133" s="172"/>
      <c r="AC133" s="200"/>
      <c r="AD133" s="200"/>
      <c r="AE133" s="205"/>
      <c r="AF133" s="176"/>
      <c r="AG133" s="169"/>
      <c r="AH133" s="201">
        <f>SUM(C133:AG133)</f>
        <v>1630059130</v>
      </c>
      <c r="AI133" s="173"/>
    </row>
    <row r="134" spans="1:35">
      <c r="A134" s="162" t="s">
        <v>201</v>
      </c>
      <c r="B134" s="204"/>
      <c r="C134" s="176">
        <v>53943112</v>
      </c>
      <c r="D134" s="169"/>
      <c r="E134" s="180"/>
      <c r="F134" s="200"/>
      <c r="G134" s="200"/>
      <c r="H134" s="204"/>
      <c r="I134" s="205"/>
      <c r="J134" s="200"/>
      <c r="K134" s="180"/>
      <c r="L134" s="200"/>
      <c r="M134" s="200"/>
      <c r="N134" s="174"/>
      <c r="O134" s="180"/>
      <c r="P134" s="205"/>
      <c r="Q134" s="174"/>
      <c r="R134" s="176"/>
      <c r="S134" s="200"/>
      <c r="T134" s="169"/>
      <c r="U134" s="205"/>
      <c r="V134" s="176"/>
      <c r="W134" s="180"/>
      <c r="X134" s="176"/>
      <c r="Y134" s="180"/>
      <c r="Z134" s="174"/>
      <c r="AA134" s="200"/>
      <c r="AB134" s="172"/>
      <c r="AC134" s="200"/>
      <c r="AD134" s="200"/>
      <c r="AE134" s="205"/>
      <c r="AF134" s="176"/>
      <c r="AG134" s="169"/>
      <c r="AH134" s="201"/>
      <c r="AI134" s="173"/>
    </row>
    <row r="135" spans="1:35" ht="17.25" customHeight="1">
      <c r="A135" s="162" t="s">
        <v>175</v>
      </c>
      <c r="B135" s="204"/>
      <c r="C135" s="193"/>
      <c r="D135" s="200"/>
      <c r="E135" s="180"/>
      <c r="F135" s="200"/>
      <c r="G135" s="200"/>
      <c r="H135" s="200">
        <v>1836925093</v>
      </c>
      <c r="I135" s="205">
        <v>650672811</v>
      </c>
      <c r="J135" s="180"/>
      <c r="K135" s="200"/>
      <c r="L135" s="169"/>
      <c r="M135" s="200"/>
      <c r="N135" s="180"/>
      <c r="O135" s="180">
        <v>11280000</v>
      </c>
      <c r="Q135" s="205"/>
      <c r="R135" s="176"/>
      <c r="S135" s="200"/>
      <c r="T135" s="169"/>
      <c r="U135" s="205"/>
      <c r="V135" s="176">
        <v>598821197</v>
      </c>
      <c r="W135" s="180"/>
      <c r="X135" s="176"/>
      <c r="Y135" s="180"/>
      <c r="Z135" s="174"/>
      <c r="AA135" s="200"/>
      <c r="AB135" s="172"/>
      <c r="AC135" s="200"/>
      <c r="AD135" s="200"/>
      <c r="AE135" s="176"/>
      <c r="AF135" s="176"/>
      <c r="AG135" s="169"/>
      <c r="AH135" s="201"/>
      <c r="AI135" s="173"/>
    </row>
    <row r="136" spans="1:35">
      <c r="A136" s="162" t="s">
        <v>176</v>
      </c>
      <c r="B136" s="204">
        <v>0</v>
      </c>
      <c r="C136" s="205"/>
      <c r="D136" s="200"/>
      <c r="E136" s="180"/>
      <c r="F136" s="200"/>
      <c r="G136" s="200"/>
      <c r="H136" s="200"/>
      <c r="I136" s="205"/>
      <c r="J136" s="180"/>
      <c r="K136" s="180"/>
      <c r="L136" s="200"/>
      <c r="M136" s="200"/>
      <c r="N136" s="200"/>
      <c r="O136" s="180"/>
      <c r="P136" s="205"/>
      <c r="Q136" s="200"/>
      <c r="R136" s="207"/>
      <c r="S136" s="200"/>
      <c r="T136" s="180"/>
      <c r="U136" s="176"/>
      <c r="V136" s="200"/>
      <c r="W136" s="200"/>
      <c r="X136" s="176"/>
      <c r="Y136" s="180"/>
      <c r="Z136" s="200"/>
      <c r="AA136" s="200"/>
      <c r="AB136" s="172"/>
      <c r="AC136" s="200"/>
      <c r="AD136" s="200"/>
      <c r="AE136" s="205"/>
      <c r="AF136" s="176"/>
      <c r="AG136" s="200"/>
      <c r="AH136" s="201">
        <f>SUM(C136:AG136)</f>
        <v>0</v>
      </c>
      <c r="AI136" s="173"/>
    </row>
    <row r="137" spans="1:35">
      <c r="A137" s="162" t="s">
        <v>202</v>
      </c>
      <c r="B137" s="204"/>
      <c r="C137" s="205">
        <v>93531110</v>
      </c>
      <c r="D137" s="200"/>
      <c r="E137" s="180"/>
      <c r="F137" s="200"/>
      <c r="G137" s="200"/>
      <c r="H137" s="200"/>
      <c r="I137" s="205"/>
      <c r="J137" s="180"/>
      <c r="K137" s="180"/>
      <c r="L137" s="200"/>
      <c r="M137" s="200"/>
      <c r="N137" s="200"/>
      <c r="O137" s="180"/>
      <c r="P137" s="205"/>
      <c r="Q137" s="200"/>
      <c r="R137" s="207"/>
      <c r="S137" s="200"/>
      <c r="T137" s="180"/>
      <c r="U137" s="176"/>
      <c r="V137" s="200"/>
      <c r="W137" s="200"/>
      <c r="X137" s="176"/>
      <c r="Y137" s="180"/>
      <c r="Z137" s="200"/>
      <c r="AA137" s="200"/>
      <c r="AB137" s="172"/>
      <c r="AC137" s="200"/>
      <c r="AD137" s="200"/>
      <c r="AE137" s="207"/>
      <c r="AF137" s="176"/>
      <c r="AG137" s="200"/>
      <c r="AH137" s="201"/>
      <c r="AI137" s="173"/>
    </row>
    <row r="138" spans="1:35">
      <c r="A138" s="211" t="s">
        <v>41</v>
      </c>
      <c r="B138" s="212"/>
      <c r="C138" s="213">
        <f t="shared" ref="C138:AG138" si="1">SUM(C118:C137)</f>
        <v>147474222</v>
      </c>
      <c r="D138" s="213">
        <f t="shared" si="1"/>
        <v>0</v>
      </c>
      <c r="E138" s="213">
        <f t="shared" si="1"/>
        <v>4384697493</v>
      </c>
      <c r="F138" s="213">
        <f t="shared" si="1"/>
        <v>0</v>
      </c>
      <c r="G138" s="213">
        <f t="shared" si="1"/>
        <v>0</v>
      </c>
      <c r="H138" s="213">
        <f t="shared" si="1"/>
        <v>9439856243</v>
      </c>
      <c r="I138" s="213">
        <f t="shared" si="1"/>
        <v>1958434463</v>
      </c>
      <c r="J138" s="213">
        <f t="shared" si="1"/>
        <v>463295847</v>
      </c>
      <c r="K138" s="213">
        <f t="shared" si="1"/>
        <v>7039805619</v>
      </c>
      <c r="L138" s="213">
        <f t="shared" si="1"/>
        <v>654892692</v>
      </c>
      <c r="M138" s="213">
        <f t="shared" si="1"/>
        <v>0</v>
      </c>
      <c r="N138" s="213">
        <f t="shared" si="1"/>
        <v>0</v>
      </c>
      <c r="O138" s="213">
        <f t="shared" si="1"/>
        <v>2609231931</v>
      </c>
      <c r="P138" s="213">
        <f t="shared" si="1"/>
        <v>5339706304</v>
      </c>
      <c r="Q138" s="213">
        <f t="shared" si="1"/>
        <v>0</v>
      </c>
      <c r="R138" s="213">
        <f t="shared" si="1"/>
        <v>853482652</v>
      </c>
      <c r="S138" s="213">
        <f t="shared" si="1"/>
        <v>7327782358</v>
      </c>
      <c r="T138" s="213">
        <f t="shared" si="1"/>
        <v>0</v>
      </c>
      <c r="U138" s="213">
        <f t="shared" si="1"/>
        <v>0</v>
      </c>
      <c r="V138" s="213">
        <f t="shared" si="1"/>
        <v>1688788656</v>
      </c>
      <c r="W138" s="213">
        <f t="shared" si="1"/>
        <v>4452719802</v>
      </c>
      <c r="X138" s="213">
        <f t="shared" si="1"/>
        <v>0</v>
      </c>
      <c r="Y138" s="213">
        <f t="shared" si="1"/>
        <v>0</v>
      </c>
      <c r="Z138" s="213">
        <f t="shared" si="1"/>
        <v>10979385692</v>
      </c>
      <c r="AA138" s="213">
        <f t="shared" si="1"/>
        <v>0</v>
      </c>
      <c r="AB138" s="213">
        <f t="shared" si="1"/>
        <v>0</v>
      </c>
      <c r="AC138" s="213">
        <f t="shared" si="1"/>
        <v>5531841567</v>
      </c>
      <c r="AD138" s="213">
        <f t="shared" si="1"/>
        <v>0</v>
      </c>
      <c r="AE138" s="213">
        <f t="shared" si="1"/>
        <v>8916942699</v>
      </c>
      <c r="AF138" s="213">
        <f t="shared" si="1"/>
        <v>2280397188</v>
      </c>
      <c r="AG138" s="213">
        <f t="shared" si="1"/>
        <v>2665932041</v>
      </c>
      <c r="AH138" s="214">
        <f>SUM(AH118:AH136)</f>
        <v>23247201356</v>
      </c>
      <c r="AI138" s="154"/>
    </row>
    <row r="139" spans="1:35">
      <c r="A139" s="393" t="s">
        <v>42</v>
      </c>
      <c r="B139" s="394"/>
      <c r="C139" s="215">
        <f t="shared" ref="C139:AG139" si="2">C115+C138</f>
        <v>1046808486</v>
      </c>
      <c r="D139" s="215">
        <f t="shared" si="2"/>
        <v>188707075</v>
      </c>
      <c r="E139" s="216">
        <f t="shared" si="2"/>
        <v>6420192417</v>
      </c>
      <c r="F139" s="216">
        <f t="shared" si="2"/>
        <v>0</v>
      </c>
      <c r="G139" s="216">
        <f t="shared" si="2"/>
        <v>0</v>
      </c>
      <c r="H139" s="216">
        <f t="shared" si="2"/>
        <v>9977691766</v>
      </c>
      <c r="I139" s="216">
        <f t="shared" si="2"/>
        <v>3296328570</v>
      </c>
      <c r="J139" s="215">
        <f t="shared" si="2"/>
        <v>630175046</v>
      </c>
      <c r="K139" s="215">
        <f t="shared" si="2"/>
        <v>7391222593</v>
      </c>
      <c r="L139" s="216">
        <f t="shared" si="2"/>
        <v>1878363169</v>
      </c>
      <c r="M139" s="216">
        <f t="shared" si="2"/>
        <v>0</v>
      </c>
      <c r="N139" s="216">
        <f t="shared" si="2"/>
        <v>0</v>
      </c>
      <c r="O139" s="216">
        <f t="shared" si="2"/>
        <v>4140514071</v>
      </c>
      <c r="P139" s="216">
        <f t="shared" si="2"/>
        <v>7459487576</v>
      </c>
      <c r="Q139" s="216">
        <f t="shared" si="2"/>
        <v>1496430778</v>
      </c>
      <c r="R139" s="216">
        <f t="shared" si="2"/>
        <v>853482652</v>
      </c>
      <c r="S139" s="216">
        <f t="shared" si="2"/>
        <v>7475221855</v>
      </c>
      <c r="T139" s="216">
        <f t="shared" si="2"/>
        <v>0</v>
      </c>
      <c r="U139" s="216">
        <f t="shared" si="2"/>
        <v>0</v>
      </c>
      <c r="V139" s="216">
        <f t="shared" si="2"/>
        <v>4047559007</v>
      </c>
      <c r="W139" s="216">
        <f t="shared" si="2"/>
        <v>4881529802</v>
      </c>
      <c r="X139" s="216">
        <f t="shared" si="2"/>
        <v>113765198</v>
      </c>
      <c r="Y139" s="216">
        <f t="shared" si="2"/>
        <v>12447968</v>
      </c>
      <c r="Z139" s="216">
        <f t="shared" si="2"/>
        <v>10979385692</v>
      </c>
      <c r="AA139" s="216">
        <f t="shared" si="2"/>
        <v>0</v>
      </c>
      <c r="AB139" s="216">
        <f t="shared" si="2"/>
        <v>138667175</v>
      </c>
      <c r="AC139" s="216">
        <f t="shared" si="2"/>
        <v>9042070586</v>
      </c>
      <c r="AD139" s="216">
        <f t="shared" si="2"/>
        <v>1568914429</v>
      </c>
      <c r="AE139" s="216">
        <f t="shared" si="2"/>
        <v>8934012699</v>
      </c>
      <c r="AF139" s="216">
        <f t="shared" si="2"/>
        <v>2280397188</v>
      </c>
      <c r="AG139" s="216">
        <f t="shared" si="2"/>
        <v>18940651489</v>
      </c>
      <c r="AH139" s="216">
        <f>SUM(C139:AG139)</f>
        <v>113194027287</v>
      </c>
    </row>
    <row r="141" spans="1:35">
      <c r="A141" s="150" t="s">
        <v>50</v>
      </c>
      <c r="C141" s="154">
        <v>16450937415</v>
      </c>
      <c r="D141" s="193">
        <v>17932504506</v>
      </c>
      <c r="E141" s="154">
        <v>20604766419</v>
      </c>
      <c r="F141" s="154"/>
      <c r="G141" s="154"/>
      <c r="H141" s="154">
        <v>19336268891</v>
      </c>
      <c r="I141" s="154">
        <v>20431758396</v>
      </c>
      <c r="J141" s="154">
        <v>20631901084</v>
      </c>
      <c r="K141" s="193">
        <v>23351820077</v>
      </c>
      <c r="L141" s="154">
        <v>19663230040</v>
      </c>
      <c r="M141" s="154"/>
      <c r="N141" s="154"/>
      <c r="O141" s="154">
        <v>24265247301</v>
      </c>
      <c r="P141" s="154">
        <v>23598523291</v>
      </c>
      <c r="Q141" s="154">
        <v>18849641019</v>
      </c>
      <c r="R141" s="154">
        <v>20830015175</v>
      </c>
      <c r="S141" s="154">
        <v>23973430165</v>
      </c>
      <c r="T141" s="154"/>
      <c r="U141" s="154"/>
      <c r="V141" s="154">
        <v>21894174154</v>
      </c>
      <c r="W141" s="154">
        <v>25628915969</v>
      </c>
      <c r="X141" s="154">
        <v>24044727387</v>
      </c>
      <c r="Y141" s="154">
        <v>26970330708</v>
      </c>
      <c r="Z141" s="154">
        <v>31101168288</v>
      </c>
      <c r="AA141" s="154"/>
      <c r="AB141" s="217"/>
      <c r="AC141" s="154">
        <v>26180762665</v>
      </c>
      <c r="AD141" s="154">
        <v>20553171288</v>
      </c>
      <c r="AE141" s="154">
        <v>22341429354</v>
      </c>
      <c r="AF141" s="154">
        <v>16358752246</v>
      </c>
      <c r="AG141" s="154">
        <v>17792584941</v>
      </c>
    </row>
    <row r="142" spans="1:35">
      <c r="A142" s="150" t="s">
        <v>139</v>
      </c>
      <c r="C142" s="193">
        <f>C141-C139</f>
        <v>15404128929</v>
      </c>
      <c r="D142" s="218">
        <f>D141-D139</f>
        <v>17743797431</v>
      </c>
      <c r="E142" s="219">
        <f>E141-E139</f>
        <v>14184574002</v>
      </c>
      <c r="F142" s="154"/>
      <c r="G142" s="219"/>
      <c r="H142" s="154">
        <f>H141-H139</f>
        <v>9358577125</v>
      </c>
      <c r="I142" s="219">
        <f>I141-I139</f>
        <v>17135429826</v>
      </c>
      <c r="J142" s="193">
        <f>J141-J139</f>
        <v>20001726038</v>
      </c>
      <c r="K142" s="220">
        <f>K141-K139</f>
        <v>15960597484</v>
      </c>
      <c r="L142" s="219">
        <f>L141-L139</f>
        <v>17784866871</v>
      </c>
      <c r="M142" s="154"/>
      <c r="N142" s="217"/>
      <c r="O142" s="217">
        <f>O141-O139</f>
        <v>20124733230</v>
      </c>
      <c r="P142" s="217">
        <f>P141-P139</f>
        <v>16139035715</v>
      </c>
      <c r="Q142" s="217">
        <f>Q141-Q139</f>
        <v>17353210241</v>
      </c>
      <c r="R142" s="219">
        <f>R141-R139</f>
        <v>19976532523</v>
      </c>
      <c r="S142" s="154">
        <f>S141-S139</f>
        <v>16498208310</v>
      </c>
      <c r="T142" s="154"/>
      <c r="U142" s="217"/>
      <c r="V142" s="154">
        <f>V141-V139</f>
        <v>17846615147</v>
      </c>
      <c r="W142" s="219">
        <f>W141-W139</f>
        <v>20747386167</v>
      </c>
      <c r="X142" s="154">
        <f>X141-X139</f>
        <v>23930962189</v>
      </c>
      <c r="Y142" s="219">
        <f>Y141-Y139</f>
        <v>26957882740</v>
      </c>
      <c r="Z142" s="154">
        <f>Z141-Z139</f>
        <v>20121782596</v>
      </c>
      <c r="AA142" s="154"/>
      <c r="AB142" s="217"/>
      <c r="AC142" s="219">
        <f>AC141-AC139</f>
        <v>17138692079</v>
      </c>
      <c r="AD142" s="219">
        <f>AD141-AD139</f>
        <v>18984256859</v>
      </c>
      <c r="AE142" s="221">
        <f>AE141-AE139</f>
        <v>13407416655</v>
      </c>
      <c r="AF142" s="200">
        <f>AF141-AF139</f>
        <v>14078355058</v>
      </c>
      <c r="AG142" s="200">
        <f>AG141-AG139</f>
        <v>-1148066548</v>
      </c>
    </row>
    <row r="143" spans="1:35">
      <c r="A143" s="150" t="s">
        <v>181</v>
      </c>
      <c r="C143" s="193">
        <v>1892723992</v>
      </c>
      <c r="D143" s="218">
        <v>2212756609</v>
      </c>
      <c r="E143" s="154">
        <v>2461217064</v>
      </c>
      <c r="F143" s="154"/>
      <c r="G143" s="154"/>
      <c r="H143" s="154">
        <v>2181360094</v>
      </c>
      <c r="I143" s="154">
        <v>2629500617</v>
      </c>
      <c r="J143" s="193">
        <v>2823015874</v>
      </c>
      <c r="K143" s="193">
        <v>2642811064</v>
      </c>
      <c r="L143" s="154">
        <v>2787864478</v>
      </c>
      <c r="M143" s="154"/>
      <c r="N143" s="154"/>
      <c r="O143" s="154"/>
      <c r="P143" s="154">
        <v>2336830383</v>
      </c>
      <c r="Q143" s="154">
        <v>2567258081</v>
      </c>
      <c r="R143" s="219">
        <v>2450962965</v>
      </c>
      <c r="S143" s="154">
        <v>2406290500</v>
      </c>
      <c r="T143" s="154"/>
      <c r="U143" s="154"/>
      <c r="V143" s="154">
        <v>2218893246</v>
      </c>
      <c r="W143" s="154">
        <v>2413298218</v>
      </c>
      <c r="X143" s="154">
        <v>2478628034</v>
      </c>
      <c r="Y143" s="217">
        <v>2323935335</v>
      </c>
      <c r="Z143" s="154">
        <v>2582908008</v>
      </c>
      <c r="AA143" s="154"/>
      <c r="AB143" s="154"/>
      <c r="AC143" s="154">
        <v>1894323059</v>
      </c>
      <c r="AD143" s="217">
        <v>2566297955</v>
      </c>
      <c r="AE143" s="154">
        <v>2224058275</v>
      </c>
      <c r="AF143" s="154">
        <v>2800000000</v>
      </c>
      <c r="AG143" s="154">
        <v>2514546550</v>
      </c>
    </row>
    <row r="144" spans="1:35">
      <c r="A144" s="150" t="s">
        <v>139</v>
      </c>
      <c r="C144" s="218">
        <f>C142+C143</f>
        <v>17296852921</v>
      </c>
      <c r="D144" s="218">
        <f>D142+D143</f>
        <v>19956554040</v>
      </c>
      <c r="E144" s="154">
        <f>E142+E143</f>
        <v>16645791066</v>
      </c>
      <c r="F144" s="154"/>
      <c r="G144" s="154"/>
      <c r="H144" s="154">
        <f>H142+H143</f>
        <v>11539937219</v>
      </c>
      <c r="I144" s="154">
        <f>I142+I143</f>
        <v>19764930443</v>
      </c>
      <c r="J144" s="193">
        <f>J142+J143</f>
        <v>22824741912</v>
      </c>
      <c r="K144" s="193">
        <f>K142+K143</f>
        <v>18603408548</v>
      </c>
      <c r="L144" s="154">
        <f>L142+L143</f>
        <v>20572731349</v>
      </c>
      <c r="M144" s="154"/>
      <c r="N144" s="154"/>
      <c r="O144" s="154"/>
      <c r="P144" s="154">
        <f>P142+P143</f>
        <v>18475866098</v>
      </c>
      <c r="Q144" s="154">
        <f>Q142+Q143</f>
        <v>19920468322</v>
      </c>
      <c r="R144" s="219">
        <f>R142+R143</f>
        <v>22427495488</v>
      </c>
      <c r="S144" s="219">
        <f>S142+S143</f>
        <v>18904498810</v>
      </c>
      <c r="T144" s="219"/>
      <c r="U144" s="154"/>
      <c r="V144" s="154">
        <f>V142+V143</f>
        <v>20065508393</v>
      </c>
      <c r="W144" s="154">
        <f>W142+W143</f>
        <v>23160684385</v>
      </c>
      <c r="X144" s="154">
        <f>X142+X143</f>
        <v>26409590223</v>
      </c>
      <c r="Y144" s="217">
        <f>Y142+Y143</f>
        <v>29281818075</v>
      </c>
      <c r="Z144" s="219">
        <f>Z142+Z143</f>
        <v>22704690604</v>
      </c>
      <c r="AA144" s="219"/>
      <c r="AB144" s="154"/>
      <c r="AC144" s="154">
        <f>AC142+AC143</f>
        <v>19033015138</v>
      </c>
      <c r="AD144" s="219">
        <f>AD142+AD143</f>
        <v>21550554814</v>
      </c>
      <c r="AE144" s="154">
        <f>AE142+AE143</f>
        <v>15631474930</v>
      </c>
      <c r="AF144" s="217">
        <f>AF142+AF143</f>
        <v>16878355058</v>
      </c>
      <c r="AG144" s="154">
        <f>AG142+AG143</f>
        <v>1366480002</v>
      </c>
    </row>
    <row r="145" spans="3:35">
      <c r="E145" s="154"/>
      <c r="F145" s="154"/>
      <c r="H145" s="217"/>
      <c r="I145" s="154"/>
      <c r="J145" s="193"/>
      <c r="K145" s="220"/>
      <c r="L145" s="154"/>
      <c r="M145" s="154"/>
      <c r="N145" s="154"/>
      <c r="P145" s="154"/>
      <c r="U145" s="154"/>
      <c r="V145" s="154"/>
      <c r="X145" s="154"/>
      <c r="Z145" s="219"/>
      <c r="AB145" s="154"/>
      <c r="AG145" s="154"/>
    </row>
    <row r="146" spans="3:35">
      <c r="F146" s="154"/>
      <c r="I146" s="219"/>
      <c r="K146" s="218">
        <f>J144-K139</f>
        <v>15433519319</v>
      </c>
      <c r="L146" s="154"/>
      <c r="V146" s="154"/>
      <c r="X146" s="219"/>
    </row>
    <row r="147" spans="3:35">
      <c r="L147" s="154"/>
      <c r="Y147" s="154"/>
      <c r="AD147" s="169" t="s">
        <v>120</v>
      </c>
      <c r="AE147" s="176">
        <v>35472809</v>
      </c>
      <c r="AF147" s="169" t="s">
        <v>128</v>
      </c>
      <c r="AG147" s="222">
        <f>12601000+58786100+70661200</f>
        <v>142048300</v>
      </c>
      <c r="AH147" s="169" t="s">
        <v>131</v>
      </c>
      <c r="AI147" s="176">
        <v>24220575</v>
      </c>
    </row>
    <row r="148" spans="3:35">
      <c r="C148" s="150"/>
      <c r="D148" s="150"/>
      <c r="H148" s="219"/>
      <c r="AD148" s="169" t="s">
        <v>121</v>
      </c>
      <c r="AE148" s="176">
        <v>14204180</v>
      </c>
      <c r="AF148" s="169" t="s">
        <v>129</v>
      </c>
      <c r="AG148" s="222">
        <v>1130000</v>
      </c>
      <c r="AH148" s="169" t="s">
        <v>132</v>
      </c>
      <c r="AI148" s="176">
        <v>29013000</v>
      </c>
    </row>
    <row r="149" spans="3:35">
      <c r="S149" s="185">
        <v>44256</v>
      </c>
      <c r="U149" s="185"/>
      <c r="AD149" s="169" t="s">
        <v>122</v>
      </c>
      <c r="AE149" s="176">
        <v>38068270</v>
      </c>
      <c r="AF149" s="169" t="s">
        <v>130</v>
      </c>
      <c r="AG149" s="222">
        <v>124601500</v>
      </c>
      <c r="AH149" s="169" t="s">
        <v>127</v>
      </c>
      <c r="AI149" s="176">
        <v>43960805</v>
      </c>
    </row>
    <row r="150" spans="3:35">
      <c r="C150" s="150"/>
      <c r="D150" s="150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AD150" s="169" t="s">
        <v>123</v>
      </c>
      <c r="AE150" s="176">
        <v>37755482</v>
      </c>
      <c r="AF150" s="192" t="s">
        <v>6</v>
      </c>
      <c r="AG150" s="224">
        <f>SUM(AG147:AG149)</f>
        <v>267779800</v>
      </c>
      <c r="AH150" s="169" t="s">
        <v>133</v>
      </c>
      <c r="AI150" s="176">
        <v>16297393</v>
      </c>
    </row>
    <row r="151" spans="3:35">
      <c r="C151" s="150"/>
      <c r="D151" s="150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395" t="s">
        <v>240</v>
      </c>
      <c r="X151" s="395"/>
      <c r="Y151" s="395"/>
      <c r="Z151" s="395"/>
      <c r="AD151" s="169" t="s">
        <v>124</v>
      </c>
      <c r="AE151" s="176">
        <v>120074200</v>
      </c>
      <c r="AG151" s="154"/>
      <c r="AH151" s="169" t="s">
        <v>134</v>
      </c>
      <c r="AI151" s="176">
        <v>71402128</v>
      </c>
    </row>
    <row r="152" spans="3:35">
      <c r="C152" s="150"/>
      <c r="D152" s="150"/>
      <c r="H152" s="150" t="s">
        <v>265</v>
      </c>
      <c r="J152" s="193">
        <v>623913283</v>
      </c>
      <c r="M152" s="223"/>
      <c r="N152" s="223"/>
      <c r="O152" s="223"/>
      <c r="P152" s="223"/>
      <c r="Q152" s="223" t="s">
        <v>108</v>
      </c>
      <c r="R152" s="223"/>
      <c r="S152" s="223"/>
      <c r="T152" s="223"/>
      <c r="U152" s="223"/>
      <c r="V152" s="223"/>
      <c r="AC152" s="150" t="s">
        <v>111</v>
      </c>
      <c r="AD152" s="169" t="s">
        <v>125</v>
      </c>
      <c r="AE152" s="176">
        <v>39264697</v>
      </c>
      <c r="AG152" s="154"/>
      <c r="AH152" s="169" t="s">
        <v>135</v>
      </c>
      <c r="AI152" s="176">
        <v>70219456</v>
      </c>
    </row>
    <row r="153" spans="3:35">
      <c r="C153" s="150"/>
      <c r="D153" s="150"/>
      <c r="J153" s="193">
        <v>-9536328</v>
      </c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5" t="s">
        <v>229</v>
      </c>
      <c r="X153" s="225" t="s">
        <v>230</v>
      </c>
      <c r="Y153" s="225" t="s">
        <v>231</v>
      </c>
      <c r="Z153" s="225" t="s">
        <v>233</v>
      </c>
      <c r="AD153" s="169" t="s">
        <v>126</v>
      </c>
      <c r="AE153" s="176">
        <v>3066461</v>
      </c>
      <c r="AG153" s="154"/>
      <c r="AH153" s="169" t="s">
        <v>120</v>
      </c>
      <c r="AI153" s="176">
        <v>6461250</v>
      </c>
    </row>
    <row r="154" spans="3:35">
      <c r="C154" s="150"/>
      <c r="D154" s="150"/>
      <c r="J154" s="193">
        <v>-35329927</v>
      </c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6">
        <v>44398</v>
      </c>
      <c r="X154" s="169" t="s">
        <v>232</v>
      </c>
      <c r="Y154" s="176">
        <v>1250000</v>
      </c>
      <c r="Z154" s="169" t="s">
        <v>234</v>
      </c>
      <c r="AD154" s="169" t="s">
        <v>127</v>
      </c>
      <c r="AE154" s="176">
        <v>1150000</v>
      </c>
      <c r="AG154" s="154"/>
      <c r="AH154" s="169" t="s">
        <v>121</v>
      </c>
      <c r="AI154" s="176">
        <v>2735500</v>
      </c>
    </row>
    <row r="155" spans="3:35">
      <c r="C155" s="150"/>
      <c r="D155" s="150"/>
      <c r="J155" s="193">
        <v>-94644000</v>
      </c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6">
        <v>44398</v>
      </c>
      <c r="X155" s="169" t="s">
        <v>235</v>
      </c>
      <c r="Y155" s="176">
        <v>5758500</v>
      </c>
      <c r="Z155" s="169" t="s">
        <v>238</v>
      </c>
      <c r="AD155" s="192" t="s">
        <v>6</v>
      </c>
      <c r="AE155" s="227">
        <f>SUM(AE147:AE154)</f>
        <v>289056099</v>
      </c>
      <c r="AH155" s="169" t="s">
        <v>136</v>
      </c>
      <c r="AI155" s="176">
        <v>26692000</v>
      </c>
    </row>
    <row r="156" spans="3:35">
      <c r="C156" s="150"/>
      <c r="D156" s="150"/>
      <c r="J156" s="193">
        <v>-5550198</v>
      </c>
      <c r="M156" s="223" t="s">
        <v>97</v>
      </c>
      <c r="N156" s="223"/>
      <c r="O156" s="223"/>
      <c r="P156" s="223"/>
      <c r="Q156" s="223"/>
      <c r="R156" s="223"/>
      <c r="S156" s="223"/>
      <c r="T156" s="223"/>
      <c r="U156" s="223"/>
      <c r="V156" s="223"/>
      <c r="W156" s="226">
        <v>44398</v>
      </c>
      <c r="X156" s="169" t="s">
        <v>235</v>
      </c>
      <c r="Y156" s="176">
        <v>33905000</v>
      </c>
      <c r="Z156" s="169" t="s">
        <v>239</v>
      </c>
      <c r="AH156" s="169" t="s">
        <v>123</v>
      </c>
      <c r="AI156" s="176">
        <v>27332750</v>
      </c>
    </row>
    <row r="157" spans="3:35">
      <c r="C157" s="150"/>
      <c r="D157" s="150"/>
      <c r="J157" s="193">
        <v>-61641742</v>
      </c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6">
        <v>44398</v>
      </c>
      <c r="X157" s="169" t="s">
        <v>236</v>
      </c>
      <c r="Y157" s="176">
        <f>1050000+2100000</f>
        <v>3150000</v>
      </c>
      <c r="Z157" s="169" t="s">
        <v>237</v>
      </c>
      <c r="AH157" s="169" t="s">
        <v>124</v>
      </c>
      <c r="AI157" s="176">
        <v>46899155</v>
      </c>
    </row>
    <row r="158" spans="3:35">
      <c r="C158" s="150"/>
      <c r="D158" s="150"/>
      <c r="J158" s="193">
        <v>-3124130</v>
      </c>
      <c r="O158" s="228"/>
      <c r="P158" s="228"/>
      <c r="Q158" s="228"/>
      <c r="R158" s="228"/>
      <c r="S158" s="228"/>
      <c r="T158" s="228"/>
      <c r="U158" s="228"/>
      <c r="V158" s="229"/>
      <c r="W158" s="228"/>
      <c r="Y158" s="154"/>
      <c r="AH158" s="169" t="s">
        <v>125</v>
      </c>
      <c r="AI158" s="176">
        <v>43312000</v>
      </c>
    </row>
    <row r="159" spans="3:35">
      <c r="C159" s="150"/>
      <c r="D159" s="150"/>
      <c r="J159" s="193">
        <f>SUM(J152:J158)</f>
        <v>414086958</v>
      </c>
      <c r="O159" s="228"/>
      <c r="P159" s="228"/>
      <c r="Q159" s="228"/>
      <c r="R159" s="228"/>
      <c r="S159" s="228"/>
      <c r="T159" s="228"/>
      <c r="U159" s="228"/>
      <c r="V159" s="229"/>
      <c r="W159" s="228"/>
      <c r="X159" s="150" t="s">
        <v>241</v>
      </c>
      <c r="Y159" s="219">
        <f>SUM(Y154:Y158)</f>
        <v>44063500</v>
      </c>
      <c r="AH159" s="169" t="s">
        <v>138</v>
      </c>
      <c r="AI159" s="176">
        <v>2134000</v>
      </c>
    </row>
    <row r="160" spans="3:35">
      <c r="C160" s="150"/>
      <c r="D160" s="150"/>
      <c r="O160" s="228"/>
      <c r="P160" s="228"/>
      <c r="Q160" s="228"/>
      <c r="R160" s="228"/>
      <c r="S160" s="228"/>
      <c r="T160" s="228"/>
      <c r="U160" s="228"/>
      <c r="V160" s="228"/>
      <c r="W160" s="228"/>
      <c r="AH160" s="169" t="s">
        <v>137</v>
      </c>
      <c r="AI160" s="176">
        <v>353453</v>
      </c>
    </row>
    <row r="161" spans="3:35">
      <c r="AH161" s="192" t="s">
        <v>6</v>
      </c>
      <c r="AI161" s="227">
        <f>SUM(AI147:AI160)</f>
        <v>411033465</v>
      </c>
    </row>
    <row r="162" spans="3:35">
      <c r="AI162" s="154"/>
    </row>
    <row r="163" spans="3:35">
      <c r="AI163" s="154"/>
    </row>
    <row r="164" spans="3:35">
      <c r="AI164" s="154"/>
    </row>
    <row r="165" spans="3:35">
      <c r="AI165" s="154"/>
    </row>
    <row r="166" spans="3:35">
      <c r="C166" s="150"/>
      <c r="D166" s="150"/>
      <c r="J166" s="150"/>
      <c r="K166" s="150"/>
      <c r="AI166" s="154"/>
    </row>
    <row r="167" spans="3:35">
      <c r="C167" s="150"/>
      <c r="D167" s="150"/>
      <c r="J167" s="150"/>
      <c r="K167" s="150"/>
      <c r="AI167" s="154"/>
    </row>
  </sheetData>
  <mergeCells count="3">
    <mergeCell ref="C4:AG4"/>
    <mergeCell ref="A139:B139"/>
    <mergeCell ref="W151:Z151"/>
  </mergeCells>
  <pageMargins left="0.70866141732283472" right="0.70866141732283472" top="0.39370078740157483" bottom="0.39370078740157483" header="0.31496062992125984" footer="0.31496062992125984"/>
  <pageSetup paperSize="9" scale="1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155"/>
  <sheetViews>
    <sheetView topLeftCell="A100" zoomScale="70" zoomScaleNormal="70" workbookViewId="0">
      <selection activeCell="AI112" sqref="AI112"/>
    </sheetView>
  </sheetViews>
  <sheetFormatPr defaultRowHeight="15.75"/>
  <cols>
    <col min="1" max="1" width="49.140625" style="150" customWidth="1"/>
    <col min="2" max="2" width="11.85546875" style="150" customWidth="1"/>
    <col min="3" max="3" width="19.85546875" style="182" hidden="1" customWidth="1"/>
    <col min="4" max="4" width="18.7109375" style="182" hidden="1" customWidth="1"/>
    <col min="5" max="5" width="21.28515625" style="150" hidden="1" customWidth="1"/>
    <col min="6" max="6" width="20.85546875" style="150" hidden="1" customWidth="1"/>
    <col min="7" max="7" width="18.42578125" style="150" hidden="1" customWidth="1"/>
    <col min="8" max="8" width="22.140625" style="150" hidden="1" customWidth="1"/>
    <col min="9" max="9" width="21.42578125" style="150" hidden="1" customWidth="1"/>
    <col min="10" max="10" width="22.140625" style="182" hidden="1" customWidth="1"/>
    <col min="11" max="11" width="21" style="182" hidden="1" customWidth="1"/>
    <col min="12" max="12" width="19.85546875" style="150" hidden="1" customWidth="1"/>
    <col min="13" max="14" width="17.140625" style="150" hidden="1" customWidth="1"/>
    <col min="15" max="15" width="18.28515625" style="150" hidden="1" customWidth="1"/>
    <col min="16" max="16" width="19.85546875" style="150" hidden="1" customWidth="1"/>
    <col min="17" max="17" width="18.85546875" style="150" hidden="1" customWidth="1"/>
    <col min="18" max="18" width="20" style="150" hidden="1" customWidth="1"/>
    <col min="19" max="19" width="21.5703125" style="150" hidden="1" customWidth="1"/>
    <col min="20" max="20" width="18.28515625" style="150" hidden="1" customWidth="1"/>
    <col min="21" max="21" width="19.5703125" style="150" hidden="1" customWidth="1"/>
    <col min="22" max="22" width="18.28515625" style="150" hidden="1" customWidth="1"/>
    <col min="23" max="23" width="22.42578125" style="150" hidden="1" customWidth="1"/>
    <col min="24" max="25" width="20.7109375" style="150" hidden="1" customWidth="1"/>
    <col min="26" max="26" width="22.42578125" style="150" hidden="1" customWidth="1"/>
    <col min="27" max="27" width="21.7109375" style="150" customWidth="1"/>
    <col min="28" max="28" width="20.28515625" style="150" customWidth="1"/>
    <col min="29" max="29" width="18.5703125" style="150" customWidth="1"/>
    <col min="30" max="30" width="21.7109375" style="150" customWidth="1"/>
    <col min="31" max="31" width="22" style="150" customWidth="1"/>
    <col min="32" max="32" width="19" style="150" customWidth="1"/>
    <col min="33" max="33" width="21.7109375" style="150" customWidth="1"/>
    <col min="34" max="34" width="20.28515625" style="150" customWidth="1"/>
    <col min="35" max="35" width="18.140625" style="150" customWidth="1"/>
    <col min="36" max="36" width="12.85546875" style="150" customWidth="1"/>
    <col min="37" max="37" width="19.140625" style="150" customWidth="1"/>
    <col min="38" max="16384" width="9.140625" style="150"/>
  </cols>
  <sheetData>
    <row r="1" spans="1:35">
      <c r="A1" s="147" t="s">
        <v>0</v>
      </c>
      <c r="B1" s="148"/>
      <c r="C1" s="149"/>
      <c r="D1" s="149"/>
      <c r="E1" s="148"/>
      <c r="F1" s="148"/>
      <c r="G1" s="148"/>
      <c r="H1" s="148"/>
      <c r="I1" s="148"/>
      <c r="J1" s="149"/>
      <c r="K1" s="149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</row>
    <row r="2" spans="1:35" s="154" customFormat="1">
      <c r="A2" s="151" t="s">
        <v>1</v>
      </c>
      <c r="B2" s="152"/>
      <c r="C2" s="153"/>
      <c r="D2" s="153"/>
      <c r="E2" s="152"/>
      <c r="F2" s="152"/>
      <c r="G2" s="152"/>
      <c r="H2" s="152"/>
      <c r="I2" s="152"/>
      <c r="J2" s="153"/>
      <c r="K2" s="153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</row>
    <row r="3" spans="1:35">
      <c r="A3" s="155" t="s">
        <v>2</v>
      </c>
      <c r="B3" s="156">
        <v>44470</v>
      </c>
      <c r="C3" s="153"/>
      <c r="D3" s="153"/>
      <c r="E3" s="152"/>
      <c r="F3" s="152"/>
      <c r="G3" s="152"/>
      <c r="H3" s="152"/>
      <c r="I3" s="152"/>
      <c r="J3" s="153"/>
      <c r="K3" s="153"/>
      <c r="L3" s="152"/>
      <c r="M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</row>
    <row r="4" spans="1:35">
      <c r="A4" s="157" t="s">
        <v>3</v>
      </c>
      <c r="B4" s="158" t="s">
        <v>4</v>
      </c>
      <c r="C4" s="390" t="s">
        <v>5</v>
      </c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2"/>
      <c r="AH4" s="159" t="s">
        <v>6</v>
      </c>
      <c r="AI4" s="154"/>
    </row>
    <row r="5" spans="1:35">
      <c r="A5" s="157"/>
      <c r="B5" s="158"/>
      <c r="C5" s="160">
        <v>275</v>
      </c>
      <c r="D5" s="160">
        <v>276</v>
      </c>
      <c r="E5" s="160">
        <v>277</v>
      </c>
      <c r="F5" s="160">
        <v>278</v>
      </c>
      <c r="G5" s="160">
        <v>279</v>
      </c>
      <c r="H5" s="160">
        <v>280</v>
      </c>
      <c r="I5" s="160">
        <v>281</v>
      </c>
      <c r="J5" s="160">
        <v>282</v>
      </c>
      <c r="K5" s="160">
        <v>283</v>
      </c>
      <c r="L5" s="160">
        <v>284</v>
      </c>
      <c r="M5" s="160">
        <v>285</v>
      </c>
      <c r="N5" s="160">
        <v>286</v>
      </c>
      <c r="O5" s="160">
        <v>287</v>
      </c>
      <c r="P5" s="160">
        <v>288</v>
      </c>
      <c r="Q5" s="160">
        <v>289</v>
      </c>
      <c r="R5" s="160">
        <v>290</v>
      </c>
      <c r="S5" s="160">
        <v>291</v>
      </c>
      <c r="T5" s="160">
        <v>292</v>
      </c>
      <c r="U5" s="160">
        <v>293</v>
      </c>
      <c r="V5" s="160">
        <v>294</v>
      </c>
      <c r="W5" s="160">
        <v>295</v>
      </c>
      <c r="X5" s="160">
        <v>296</v>
      </c>
      <c r="Y5" s="160">
        <v>297</v>
      </c>
      <c r="Z5" s="160">
        <v>298</v>
      </c>
      <c r="AA5" s="160">
        <v>299</v>
      </c>
      <c r="AB5" s="160">
        <v>300</v>
      </c>
      <c r="AC5" s="160">
        <v>301</v>
      </c>
      <c r="AD5" s="160">
        <v>302</v>
      </c>
      <c r="AE5" s="160">
        <v>303</v>
      </c>
      <c r="AF5" s="160">
        <v>304</v>
      </c>
      <c r="AG5" s="160">
        <v>305</v>
      </c>
      <c r="AH5" s="159"/>
      <c r="AI5" s="154"/>
    </row>
    <row r="6" spans="1:35">
      <c r="A6" s="161" t="s">
        <v>7</v>
      </c>
      <c r="B6" s="162"/>
      <c r="C6" s="163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3"/>
      <c r="AI6" s="173"/>
    </row>
    <row r="7" spans="1:35">
      <c r="A7" s="231" t="s">
        <v>357</v>
      </c>
      <c r="B7" s="162"/>
      <c r="C7" s="163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8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3"/>
      <c r="AI7" s="173"/>
    </row>
    <row r="8" spans="1:35">
      <c r="A8" s="166" t="s">
        <v>356</v>
      </c>
      <c r="B8" s="191"/>
      <c r="C8" s="167"/>
      <c r="D8" s="164"/>
      <c r="E8" s="163"/>
      <c r="F8" s="163"/>
      <c r="G8" s="163">
        <v>1974167910</v>
      </c>
      <c r="H8" s="163"/>
      <c r="I8" s="163"/>
      <c r="J8" s="163"/>
      <c r="K8" s="164"/>
      <c r="L8" s="164"/>
      <c r="M8" s="164"/>
      <c r="N8" s="164"/>
      <c r="O8" s="168">
        <v>1588840110</v>
      </c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5">
        <f t="shared" ref="AH8:AH39" si="0">SUM(C8:AG8)</f>
        <v>3563008020</v>
      </c>
      <c r="AI8" s="154"/>
    </row>
    <row r="9" spans="1:35">
      <c r="A9" s="166" t="s">
        <v>363</v>
      </c>
      <c r="B9" s="191"/>
      <c r="C9" s="167"/>
      <c r="D9" s="167"/>
      <c r="E9" s="168"/>
      <c r="F9" s="170"/>
      <c r="G9" s="167"/>
      <c r="H9" s="170"/>
      <c r="I9" s="170"/>
      <c r="J9" s="170"/>
      <c r="K9" s="175"/>
      <c r="L9" s="175"/>
      <c r="M9" s="175"/>
      <c r="N9" s="172">
        <f>158691993</f>
        <v>158691993</v>
      </c>
      <c r="O9" s="175"/>
      <c r="P9" s="175"/>
      <c r="Q9" s="175"/>
      <c r="R9" s="168"/>
      <c r="S9" s="170"/>
      <c r="T9" s="168"/>
      <c r="U9" s="168"/>
      <c r="V9" s="168"/>
      <c r="W9" s="167"/>
      <c r="X9" s="168"/>
      <c r="Y9" s="167"/>
      <c r="Z9" s="167"/>
      <c r="AA9" s="168"/>
      <c r="AB9" s="168"/>
      <c r="AC9" s="167"/>
      <c r="AD9" s="167"/>
      <c r="AE9" s="167"/>
      <c r="AF9" s="167"/>
      <c r="AG9" s="167"/>
      <c r="AH9" s="165">
        <f t="shared" si="0"/>
        <v>158691993</v>
      </c>
      <c r="AI9" s="173"/>
    </row>
    <row r="10" spans="1:35">
      <c r="A10" s="166" t="s">
        <v>364</v>
      </c>
      <c r="B10" s="191"/>
      <c r="C10" s="167"/>
      <c r="D10" s="167"/>
      <c r="E10" s="168"/>
      <c r="F10" s="170"/>
      <c r="G10" s="167"/>
      <c r="H10" s="170"/>
      <c r="I10" s="170"/>
      <c r="J10" s="170"/>
      <c r="K10" s="175"/>
      <c r="L10" s="175"/>
      <c r="M10" s="175"/>
      <c r="N10" s="175"/>
      <c r="O10" s="175"/>
      <c r="P10" s="175"/>
      <c r="Q10" s="172">
        <v>163964174</v>
      </c>
      <c r="R10" s="168"/>
      <c r="S10" s="170"/>
      <c r="T10" s="168"/>
      <c r="U10" s="168"/>
      <c r="V10" s="168"/>
      <c r="W10" s="167"/>
      <c r="X10" s="168"/>
      <c r="Y10" s="167"/>
      <c r="Z10" s="167"/>
      <c r="AA10" s="168"/>
      <c r="AB10" s="168"/>
      <c r="AC10" s="167"/>
      <c r="AD10" s="167"/>
      <c r="AE10" s="167"/>
      <c r="AF10" s="167"/>
      <c r="AG10" s="167"/>
      <c r="AH10" s="165"/>
      <c r="AI10" s="173"/>
    </row>
    <row r="11" spans="1:35">
      <c r="A11" s="166" t="s">
        <v>366</v>
      </c>
      <c r="B11" s="191"/>
      <c r="C11" s="167"/>
      <c r="D11" s="167"/>
      <c r="E11" s="168"/>
      <c r="F11" s="170"/>
      <c r="G11" s="167"/>
      <c r="H11" s="170"/>
      <c r="I11" s="170"/>
      <c r="J11" s="170"/>
      <c r="K11" s="175"/>
      <c r="L11" s="175"/>
      <c r="M11" s="175"/>
      <c r="N11" s="175"/>
      <c r="O11" s="175"/>
      <c r="P11" s="172"/>
      <c r="Q11" s="172">
        <v>536246007</v>
      </c>
      <c r="R11" s="168"/>
      <c r="S11" s="170"/>
      <c r="T11" s="168"/>
      <c r="U11" s="168"/>
      <c r="V11" s="168"/>
      <c r="W11" s="167"/>
      <c r="X11" s="168"/>
      <c r="Y11" s="167"/>
      <c r="Z11" s="167"/>
      <c r="AA11" s="168"/>
      <c r="AB11" s="168"/>
      <c r="AC11" s="167"/>
      <c r="AD11" s="167"/>
      <c r="AE11" s="167"/>
      <c r="AF11" s="167"/>
      <c r="AG11" s="167"/>
      <c r="AH11" s="165"/>
      <c r="AI11" s="173"/>
    </row>
    <row r="12" spans="1:35">
      <c r="A12" s="166" t="s">
        <v>10</v>
      </c>
      <c r="B12" s="191"/>
      <c r="C12" s="167"/>
      <c r="D12" s="167"/>
      <c r="E12" s="167"/>
      <c r="F12" s="167"/>
      <c r="G12" s="167"/>
      <c r="H12" s="168"/>
      <c r="I12" s="168"/>
      <c r="J12" s="168"/>
      <c r="K12" s="175"/>
      <c r="L12" s="175"/>
      <c r="M12" s="175"/>
      <c r="N12" s="175"/>
      <c r="O12" s="175"/>
      <c r="P12" s="175"/>
      <c r="Q12" s="175"/>
      <c r="R12" s="175"/>
      <c r="S12" s="175"/>
      <c r="T12" s="167"/>
      <c r="U12" s="168"/>
      <c r="V12" s="168"/>
      <c r="W12" s="167"/>
      <c r="X12" s="168"/>
      <c r="Y12" s="168"/>
      <c r="Z12" s="167"/>
      <c r="AA12" s="168"/>
      <c r="AB12" s="168"/>
      <c r="AC12" s="167"/>
      <c r="AD12" s="167"/>
      <c r="AE12" s="168"/>
      <c r="AF12" s="167"/>
      <c r="AG12" s="167"/>
      <c r="AH12" s="165">
        <f t="shared" si="0"/>
        <v>0</v>
      </c>
      <c r="AI12" s="173"/>
    </row>
    <row r="13" spans="1:35">
      <c r="A13" s="166" t="s">
        <v>205</v>
      </c>
      <c r="B13" s="191"/>
      <c r="C13" s="175"/>
      <c r="D13" s="167"/>
      <c r="E13" s="167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67"/>
      <c r="S13" s="167"/>
      <c r="T13" s="175"/>
      <c r="U13" s="175"/>
      <c r="V13" s="175"/>
      <c r="W13" s="167"/>
      <c r="X13" s="175"/>
      <c r="Y13" s="167"/>
      <c r="Z13" s="167"/>
      <c r="AA13" s="175"/>
      <c r="AB13" s="175"/>
      <c r="AC13" s="175"/>
      <c r="AD13" s="175"/>
      <c r="AE13" s="175"/>
      <c r="AF13" s="175">
        <v>21000000</v>
      </c>
      <c r="AG13" s="167"/>
      <c r="AH13" s="165">
        <f t="shared" si="0"/>
        <v>21000000</v>
      </c>
      <c r="AI13" s="173"/>
    </row>
    <row r="14" spans="1:35">
      <c r="A14" s="166" t="s">
        <v>206</v>
      </c>
      <c r="B14" s="191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>
        <v>14000000</v>
      </c>
      <c r="AG14" s="175"/>
      <c r="AH14" s="165">
        <f t="shared" si="0"/>
        <v>14000000</v>
      </c>
      <c r="AI14" s="173"/>
    </row>
    <row r="15" spans="1:35">
      <c r="A15" s="166" t="s">
        <v>377</v>
      </c>
      <c r="B15" s="191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2">
        <v>311629032</v>
      </c>
      <c r="U15" s="175"/>
      <c r="V15" s="175"/>
      <c r="W15" s="175"/>
      <c r="X15" s="175"/>
      <c r="Y15" s="175"/>
      <c r="Z15" s="175"/>
      <c r="AA15" s="175"/>
      <c r="AB15" s="175"/>
      <c r="AC15" s="175"/>
      <c r="AD15" s="172">
        <v>563999436</v>
      </c>
      <c r="AE15" s="175"/>
      <c r="AF15" s="175"/>
      <c r="AG15" s="175"/>
      <c r="AH15" s="165">
        <f t="shared" si="0"/>
        <v>875628468</v>
      </c>
      <c r="AI15" s="173"/>
    </row>
    <row r="16" spans="1:35">
      <c r="A16" s="166" t="s">
        <v>365</v>
      </c>
      <c r="B16" s="191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65">
        <f t="shared" si="0"/>
        <v>0</v>
      </c>
      <c r="AI16" s="173"/>
    </row>
    <row r="17" spans="1:35">
      <c r="A17" s="166" t="s">
        <v>261</v>
      </c>
      <c r="B17" s="191"/>
      <c r="C17" s="175"/>
      <c r="D17" s="175"/>
      <c r="E17" s="175"/>
      <c r="F17" s="175"/>
      <c r="G17" s="172">
        <v>885335022</v>
      </c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65">
        <f t="shared" si="0"/>
        <v>885335022</v>
      </c>
      <c r="AI17" s="173"/>
    </row>
    <row r="18" spans="1:35">
      <c r="A18" s="166" t="s">
        <v>271</v>
      </c>
      <c r="B18" s="191"/>
      <c r="C18" s="175"/>
      <c r="D18" s="167"/>
      <c r="E18" s="168"/>
      <c r="F18" s="175"/>
      <c r="G18" s="175"/>
      <c r="H18" s="175"/>
      <c r="I18" s="172">
        <v>1711533188</v>
      </c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68"/>
      <c r="V18" s="168"/>
      <c r="W18" s="175"/>
      <c r="X18" s="168"/>
      <c r="Y18" s="175"/>
      <c r="Z18" s="175"/>
      <c r="AA18" s="168"/>
      <c r="AB18" s="168"/>
      <c r="AC18" s="175"/>
      <c r="AD18" s="175"/>
      <c r="AE18" s="175"/>
      <c r="AF18" s="175"/>
      <c r="AG18" s="175"/>
      <c r="AH18" s="165">
        <f t="shared" si="0"/>
        <v>1711533188</v>
      </c>
      <c r="AI18" s="173"/>
    </row>
    <row r="19" spans="1:35">
      <c r="A19" s="166" t="s">
        <v>272</v>
      </c>
      <c r="B19" s="191"/>
      <c r="C19" s="175"/>
      <c r="D19" s="175"/>
      <c r="E19" s="175"/>
      <c r="F19" s="175"/>
      <c r="G19" s="175"/>
      <c r="H19" s="175"/>
      <c r="I19" s="172">
        <v>174486155</v>
      </c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65">
        <f t="shared" si="0"/>
        <v>174486155</v>
      </c>
      <c r="AI19" s="173"/>
    </row>
    <row r="20" spans="1:35">
      <c r="A20" s="166" t="s">
        <v>273</v>
      </c>
      <c r="B20" s="191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2">
        <v>64278148</v>
      </c>
      <c r="AC20" s="175"/>
      <c r="AD20" s="175"/>
      <c r="AE20" s="175"/>
      <c r="AF20" s="175"/>
      <c r="AG20" s="175"/>
      <c r="AH20" s="165">
        <f t="shared" si="0"/>
        <v>64278148</v>
      </c>
      <c r="AI20" s="173"/>
    </row>
    <row r="21" spans="1:35">
      <c r="A21" s="166" t="s">
        <v>274</v>
      </c>
      <c r="B21" s="191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2">
        <v>235686542</v>
      </c>
      <c r="AC21" s="175"/>
      <c r="AD21" s="175"/>
      <c r="AE21" s="175"/>
      <c r="AF21" s="175"/>
      <c r="AG21" s="175"/>
      <c r="AH21" s="165">
        <f t="shared" si="0"/>
        <v>235686542</v>
      </c>
      <c r="AI21" s="173"/>
    </row>
    <row r="22" spans="1:35">
      <c r="A22" s="166" t="s">
        <v>275</v>
      </c>
      <c r="B22" s="191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2">
        <v>73460740</v>
      </c>
      <c r="AC22" s="175"/>
      <c r="AD22" s="175"/>
      <c r="AE22" s="175"/>
      <c r="AF22" s="175"/>
      <c r="AG22" s="175"/>
      <c r="AH22" s="165">
        <f t="shared" si="0"/>
        <v>73460740</v>
      </c>
      <c r="AI22" s="173"/>
    </row>
    <row r="23" spans="1:35">
      <c r="A23" s="166" t="s">
        <v>307</v>
      </c>
      <c r="B23" s="191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>
        <v>113660090</v>
      </c>
      <c r="AG23" s="175"/>
      <c r="AH23" s="165">
        <f t="shared" si="0"/>
        <v>113660090</v>
      </c>
      <c r="AI23" s="173"/>
    </row>
    <row r="24" spans="1:35">
      <c r="A24" s="166" t="s">
        <v>308</v>
      </c>
      <c r="B24" s="191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>
        <v>113864148</v>
      </c>
      <c r="AG24" s="175"/>
      <c r="AH24" s="165">
        <f t="shared" si="0"/>
        <v>113864148</v>
      </c>
      <c r="AI24" s="173"/>
    </row>
    <row r="25" spans="1:35">
      <c r="A25" s="166" t="s">
        <v>349</v>
      </c>
      <c r="B25" s="191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>
        <v>165247969</v>
      </c>
      <c r="AG25" s="175"/>
      <c r="AH25" s="165">
        <f t="shared" si="0"/>
        <v>165247969</v>
      </c>
      <c r="AI25" s="173"/>
    </row>
    <row r="26" spans="1:35">
      <c r="A26" s="166" t="s">
        <v>360</v>
      </c>
      <c r="B26" s="191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>
        <v>130338957</v>
      </c>
      <c r="AG26" s="175"/>
      <c r="AH26" s="165">
        <f t="shared" si="0"/>
        <v>130338957</v>
      </c>
      <c r="AI26" s="173"/>
    </row>
    <row r="27" spans="1:35">
      <c r="A27" s="166" t="s">
        <v>361</v>
      </c>
      <c r="B27" s="191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>
        <v>164979291</v>
      </c>
      <c r="AG27" s="175"/>
      <c r="AH27" s="165">
        <f t="shared" si="0"/>
        <v>164979291</v>
      </c>
      <c r="AI27" s="173"/>
    </row>
    <row r="28" spans="1:35">
      <c r="A28" s="166" t="s">
        <v>383</v>
      </c>
      <c r="B28" s="191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>
        <v>124193197</v>
      </c>
      <c r="AG28" s="175"/>
      <c r="AH28" s="165">
        <f t="shared" si="0"/>
        <v>124193197</v>
      </c>
      <c r="AI28" s="173"/>
    </row>
    <row r="29" spans="1:35">
      <c r="A29" s="166" t="s">
        <v>384</v>
      </c>
      <c r="B29" s="191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>
        <v>236518683</v>
      </c>
      <c r="AG29" s="175"/>
      <c r="AH29" s="165">
        <f t="shared" si="0"/>
        <v>236518683</v>
      </c>
      <c r="AI29" s="173"/>
    </row>
    <row r="30" spans="1:35">
      <c r="A30" s="166" t="s">
        <v>368</v>
      </c>
      <c r="B30" s="191"/>
      <c r="C30" s="167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2"/>
      <c r="X30" s="172">
        <v>95400000</v>
      </c>
      <c r="Y30" s="172"/>
      <c r="Z30" s="175"/>
      <c r="AA30" s="175"/>
      <c r="AB30" s="175"/>
      <c r="AC30" s="175"/>
      <c r="AD30" s="175"/>
      <c r="AE30" s="175"/>
      <c r="AF30" s="175"/>
      <c r="AG30" s="175"/>
      <c r="AH30" s="165">
        <f t="shared" si="0"/>
        <v>95400000</v>
      </c>
      <c r="AI30" s="173"/>
    </row>
    <row r="31" spans="1:35">
      <c r="A31" s="166" t="s">
        <v>367</v>
      </c>
      <c r="B31" s="191"/>
      <c r="C31" s="167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2"/>
      <c r="X31" s="172">
        <v>116730000</v>
      </c>
      <c r="Y31" s="172"/>
      <c r="Z31" s="175"/>
      <c r="AA31" s="175"/>
      <c r="AB31" s="175"/>
      <c r="AC31" s="175"/>
      <c r="AD31" s="175"/>
      <c r="AE31" s="175"/>
      <c r="AF31" s="175"/>
      <c r="AG31" s="175"/>
      <c r="AH31" s="165">
        <f t="shared" si="0"/>
        <v>116730000</v>
      </c>
      <c r="AI31" s="173"/>
    </row>
    <row r="32" spans="1:35">
      <c r="A32" s="166" t="s">
        <v>18</v>
      </c>
      <c r="B32" s="191"/>
      <c r="C32" s="167"/>
      <c r="D32" s="167"/>
      <c r="E32" s="167"/>
      <c r="F32" s="167"/>
      <c r="G32" s="170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70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5">
        <f t="shared" si="0"/>
        <v>0</v>
      </c>
      <c r="AI32" s="173"/>
    </row>
    <row r="33" spans="1:37">
      <c r="A33" s="166" t="s">
        <v>19</v>
      </c>
      <c r="B33" s="191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70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5">
        <f t="shared" si="0"/>
        <v>0</v>
      </c>
      <c r="AI33" s="173"/>
    </row>
    <row r="34" spans="1:37">
      <c r="A34" s="166" t="s">
        <v>20</v>
      </c>
      <c r="B34" s="191"/>
      <c r="C34" s="168">
        <f>33814753-14447462</f>
        <v>19367291</v>
      </c>
      <c r="D34" s="167"/>
      <c r="E34" s="167"/>
      <c r="F34" s="167"/>
      <c r="G34" s="170"/>
      <c r="H34" s="167"/>
      <c r="I34" s="167"/>
      <c r="J34" s="167"/>
      <c r="K34" s="168"/>
      <c r="L34" s="168"/>
      <c r="M34" s="168"/>
      <c r="N34" s="168"/>
      <c r="O34" s="168"/>
      <c r="P34" s="167"/>
      <c r="Q34" s="167"/>
      <c r="R34" s="167"/>
      <c r="S34" s="167"/>
      <c r="T34" s="167"/>
      <c r="U34" s="167"/>
      <c r="V34" s="167"/>
      <c r="W34" s="170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5">
        <f t="shared" si="0"/>
        <v>19367291</v>
      </c>
      <c r="AI34" s="173"/>
    </row>
    <row r="35" spans="1:37">
      <c r="A35" s="166" t="s">
        <v>369</v>
      </c>
      <c r="B35" s="191"/>
      <c r="C35" s="170"/>
      <c r="D35" s="167"/>
      <c r="E35" s="167"/>
      <c r="F35" s="167"/>
      <c r="G35" s="168"/>
      <c r="H35" s="168"/>
      <c r="I35" s="168"/>
      <c r="J35" s="168"/>
      <c r="K35" s="167"/>
      <c r="L35" s="167"/>
      <c r="M35" s="167"/>
      <c r="N35" s="167"/>
      <c r="O35" s="167"/>
      <c r="P35" s="175"/>
      <c r="Q35" s="175"/>
      <c r="R35" s="170"/>
      <c r="S35" s="170"/>
      <c r="T35" s="175"/>
      <c r="U35" s="172">
        <v>162596016</v>
      </c>
      <c r="V35" s="170"/>
      <c r="W35" s="170"/>
      <c r="X35" s="170"/>
      <c r="Y35" s="170"/>
      <c r="Z35" s="168"/>
      <c r="AA35" s="167"/>
      <c r="AB35" s="167"/>
      <c r="AC35" s="168"/>
      <c r="AD35" s="168"/>
      <c r="AE35" s="168"/>
      <c r="AF35" s="168"/>
      <c r="AG35" s="168"/>
      <c r="AH35" s="165">
        <f t="shared" si="0"/>
        <v>162596016</v>
      </c>
      <c r="AI35" s="173"/>
    </row>
    <row r="36" spans="1:37">
      <c r="A36" s="166" t="s">
        <v>370</v>
      </c>
      <c r="B36" s="191"/>
      <c r="C36" s="170"/>
      <c r="D36" s="167"/>
      <c r="E36" s="167"/>
      <c r="F36" s="167"/>
      <c r="G36" s="168"/>
      <c r="H36" s="168"/>
      <c r="I36" s="168"/>
      <c r="J36" s="168"/>
      <c r="K36" s="167"/>
      <c r="L36" s="167"/>
      <c r="M36" s="167"/>
      <c r="N36" s="167"/>
      <c r="O36" s="167"/>
      <c r="P36" s="175"/>
      <c r="Q36" s="175"/>
      <c r="R36" s="170"/>
      <c r="S36" s="170"/>
      <c r="T36" s="175"/>
      <c r="U36" s="175"/>
      <c r="V36" s="175"/>
      <c r="W36" s="170"/>
      <c r="X36" s="172">
        <v>62845200</v>
      </c>
      <c r="Y36" s="170"/>
      <c r="Z36" s="168"/>
      <c r="AA36" s="167"/>
      <c r="AB36" s="167"/>
      <c r="AC36" s="168"/>
      <c r="AD36" s="168"/>
      <c r="AE36" s="168"/>
      <c r="AF36" s="168"/>
      <c r="AG36" s="168"/>
      <c r="AH36" s="165"/>
      <c r="AI36" s="173"/>
    </row>
    <row r="37" spans="1:37">
      <c r="A37" s="166" t="s">
        <v>371</v>
      </c>
      <c r="B37" s="191"/>
      <c r="C37" s="170"/>
      <c r="D37" s="167"/>
      <c r="E37" s="167"/>
      <c r="F37" s="167"/>
      <c r="G37" s="168"/>
      <c r="H37" s="168"/>
      <c r="I37" s="168"/>
      <c r="J37" s="168"/>
      <c r="K37" s="167"/>
      <c r="L37" s="167"/>
      <c r="M37" s="167"/>
      <c r="N37" s="167"/>
      <c r="O37" s="167"/>
      <c r="P37" s="175"/>
      <c r="Q37" s="175"/>
      <c r="R37" s="170"/>
      <c r="S37" s="170"/>
      <c r="T37" s="175"/>
      <c r="U37" s="175"/>
      <c r="V37" s="175"/>
      <c r="W37" s="170"/>
      <c r="X37" s="175"/>
      <c r="Y37" s="170"/>
      <c r="Z37" s="168"/>
      <c r="AA37" s="172">
        <v>59708000</v>
      </c>
      <c r="AB37" s="167"/>
      <c r="AC37" s="168"/>
      <c r="AD37" s="168"/>
      <c r="AE37" s="168"/>
      <c r="AF37" s="168"/>
      <c r="AG37" s="168"/>
      <c r="AH37" s="165"/>
      <c r="AI37" s="173"/>
    </row>
    <row r="38" spans="1:37">
      <c r="A38" s="166" t="s">
        <v>318</v>
      </c>
      <c r="B38" s="191"/>
      <c r="C38" s="167"/>
      <c r="D38" s="167"/>
      <c r="E38" s="168"/>
      <c r="F38" s="168">
        <f>61562794-37116318</f>
        <v>24446476</v>
      </c>
      <c r="G38" s="168"/>
      <c r="H38" s="167"/>
      <c r="I38" s="167"/>
      <c r="J38" s="167"/>
      <c r="K38" s="167"/>
      <c r="L38" s="167"/>
      <c r="M38" s="167"/>
      <c r="N38" s="167"/>
      <c r="O38" s="167"/>
      <c r="P38" s="175"/>
      <c r="Q38" s="175"/>
      <c r="R38" s="167"/>
      <c r="S38" s="167"/>
      <c r="T38" s="175"/>
      <c r="U38" s="175"/>
      <c r="V38" s="168"/>
      <c r="W38" s="170"/>
      <c r="X38" s="168"/>
      <c r="Y38" s="172"/>
      <c r="Z38" s="170"/>
      <c r="AA38" s="168">
        <v>133120488</v>
      </c>
      <c r="AB38" s="168"/>
      <c r="AC38" s="170"/>
      <c r="AD38" s="170"/>
      <c r="AE38" s="170"/>
      <c r="AF38" s="170"/>
      <c r="AG38" s="170"/>
      <c r="AH38" s="165">
        <f t="shared" si="0"/>
        <v>157566964</v>
      </c>
      <c r="AI38" s="173"/>
    </row>
    <row r="39" spans="1:37">
      <c r="A39" s="166" t="s">
        <v>348</v>
      </c>
      <c r="B39" s="191"/>
      <c r="C39" s="168"/>
      <c r="D39" s="171"/>
      <c r="E39" s="171"/>
      <c r="F39" s="171">
        <f>92774681+35425887-14842682</f>
        <v>113357886</v>
      </c>
      <c r="G39" s="168"/>
      <c r="H39" s="167"/>
      <c r="I39" s="167"/>
      <c r="J39" s="167"/>
      <c r="K39" s="177"/>
      <c r="L39" s="177"/>
      <c r="M39" s="177"/>
      <c r="N39" s="177"/>
      <c r="O39" s="177"/>
      <c r="P39" s="172"/>
      <c r="Q39" s="172"/>
      <c r="R39" s="168"/>
      <c r="S39" s="168"/>
      <c r="T39" s="172"/>
      <c r="U39" s="172"/>
      <c r="V39" s="168"/>
      <c r="W39" s="170"/>
      <c r="X39" s="168"/>
      <c r="Y39" s="168"/>
      <c r="Z39" s="167"/>
      <c r="AA39" s="168"/>
      <c r="AB39" s="168"/>
      <c r="AC39" s="167"/>
      <c r="AD39" s="167"/>
      <c r="AE39" s="167"/>
      <c r="AF39" s="167"/>
      <c r="AG39" s="167"/>
      <c r="AH39" s="165">
        <f t="shared" si="0"/>
        <v>113357886</v>
      </c>
    </row>
    <row r="40" spans="1:37">
      <c r="A40" s="166" t="s">
        <v>354</v>
      </c>
      <c r="B40" s="191"/>
      <c r="C40" s="168"/>
      <c r="D40" s="171"/>
      <c r="E40" s="171"/>
      <c r="F40" s="171">
        <f>53957664</f>
        <v>53957664</v>
      </c>
      <c r="G40" s="168"/>
      <c r="H40" s="167"/>
      <c r="I40" s="167"/>
      <c r="J40" s="167"/>
      <c r="K40" s="177"/>
      <c r="L40" s="177"/>
      <c r="M40" s="177"/>
      <c r="N40" s="177"/>
      <c r="O40" s="177"/>
      <c r="P40" s="168"/>
      <c r="Q40" s="168"/>
      <c r="R40" s="168"/>
      <c r="S40" s="168"/>
      <c r="T40" s="168"/>
      <c r="U40" s="168"/>
      <c r="V40" s="168"/>
      <c r="W40" s="170"/>
      <c r="X40" s="168"/>
      <c r="Y40" s="168"/>
      <c r="Z40" s="167"/>
      <c r="AA40" s="168"/>
      <c r="AB40" s="168"/>
      <c r="AC40" s="167"/>
      <c r="AD40" s="167"/>
      <c r="AE40" s="167"/>
      <c r="AF40" s="167"/>
      <c r="AG40" s="167"/>
      <c r="AH40" s="165"/>
    </row>
    <row r="41" spans="1:37">
      <c r="A41" s="166" t="s">
        <v>355</v>
      </c>
      <c r="B41" s="191"/>
      <c r="C41" s="168"/>
      <c r="D41" s="171"/>
      <c r="E41" s="171"/>
      <c r="F41" s="175"/>
      <c r="G41" s="172">
        <f>132051541</f>
        <v>132051541</v>
      </c>
      <c r="H41" s="167"/>
      <c r="I41" s="167"/>
      <c r="J41" s="167"/>
      <c r="K41" s="177"/>
      <c r="L41" s="177"/>
      <c r="M41" s="177"/>
      <c r="N41" s="177"/>
      <c r="O41" s="177"/>
      <c r="P41" s="168"/>
      <c r="Q41" s="168"/>
      <c r="R41" s="168"/>
      <c r="S41" s="168"/>
      <c r="T41" s="168"/>
      <c r="U41" s="168"/>
      <c r="V41" s="168"/>
      <c r="W41" s="170"/>
      <c r="X41" s="168"/>
      <c r="Y41" s="168"/>
      <c r="Z41" s="167"/>
      <c r="AA41" s="168"/>
      <c r="AB41" s="168"/>
      <c r="AC41" s="167"/>
      <c r="AD41" s="167"/>
      <c r="AE41" s="167"/>
      <c r="AF41" s="167"/>
      <c r="AG41" s="167"/>
      <c r="AH41" s="165"/>
    </row>
    <row r="42" spans="1:37">
      <c r="A42" s="166" t="s">
        <v>350</v>
      </c>
      <c r="B42" s="191"/>
      <c r="C42" s="167"/>
      <c r="D42" s="167"/>
      <c r="E42" s="167"/>
      <c r="F42" s="168"/>
      <c r="G42" s="168"/>
      <c r="H42" s="167"/>
      <c r="I42" s="167"/>
      <c r="J42" s="168">
        <f>39570361-5395958</f>
        <v>34174403</v>
      </c>
      <c r="K42" s="177"/>
      <c r="L42" s="177"/>
      <c r="M42" s="177"/>
      <c r="N42" s="177"/>
      <c r="O42" s="177"/>
      <c r="P42" s="170"/>
      <c r="Q42" s="170"/>
      <c r="R42" s="170"/>
      <c r="S42" s="170"/>
      <c r="T42" s="170"/>
      <c r="U42" s="170"/>
      <c r="V42" s="170"/>
      <c r="W42" s="170"/>
      <c r="X42" s="170"/>
      <c r="Y42" s="167"/>
      <c r="Z42" s="168"/>
      <c r="AA42" s="170"/>
      <c r="AB42" s="168"/>
      <c r="AC42" s="168"/>
      <c r="AD42" s="168"/>
      <c r="AE42" s="168"/>
      <c r="AF42" s="168"/>
      <c r="AG42" s="168"/>
      <c r="AH42" s="165">
        <f t="shared" ref="AH42:AH100" si="1">SUM(C42:AG42)</f>
        <v>34174403</v>
      </c>
      <c r="AI42" s="173"/>
    </row>
    <row r="43" spans="1:37">
      <c r="A43" s="166" t="s">
        <v>372</v>
      </c>
      <c r="B43" s="191"/>
      <c r="C43" s="167"/>
      <c r="D43" s="167"/>
      <c r="E43" s="167"/>
      <c r="F43" s="168"/>
      <c r="G43" s="168"/>
      <c r="H43" s="167"/>
      <c r="I43" s="167"/>
      <c r="J43" s="168"/>
      <c r="K43" s="177"/>
      <c r="L43" s="177"/>
      <c r="M43" s="177"/>
      <c r="N43" s="177"/>
      <c r="O43" s="177"/>
      <c r="P43" s="232"/>
      <c r="Q43" s="232"/>
      <c r="R43" s="170"/>
      <c r="S43" s="170"/>
      <c r="T43" s="232"/>
      <c r="U43" s="172">
        <v>5867359</v>
      </c>
      <c r="V43" s="170"/>
      <c r="W43" s="170"/>
      <c r="X43" s="170"/>
      <c r="Y43" s="167"/>
      <c r="Z43" s="168"/>
      <c r="AA43" s="170"/>
      <c r="AB43" s="168"/>
      <c r="AC43" s="168"/>
      <c r="AD43" s="168"/>
      <c r="AE43" s="168"/>
      <c r="AF43" s="168"/>
      <c r="AG43" s="168"/>
      <c r="AH43" s="165"/>
      <c r="AI43" s="173"/>
    </row>
    <row r="44" spans="1:37">
      <c r="A44" s="166" t="s">
        <v>194</v>
      </c>
      <c r="B44" s="191"/>
      <c r="C44" s="175"/>
      <c r="D44" s="167"/>
      <c r="E44" s="167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67"/>
      <c r="S44" s="167"/>
      <c r="T44" s="175"/>
      <c r="U44" s="175"/>
      <c r="V44" s="175"/>
      <c r="W44" s="170"/>
      <c r="X44" s="175"/>
      <c r="Y44" s="167"/>
      <c r="Z44" s="167"/>
      <c r="AA44" s="175"/>
      <c r="AB44" s="175"/>
      <c r="AC44" s="175"/>
      <c r="AD44" s="175"/>
      <c r="AE44" s="175"/>
      <c r="AF44" s="175">
        <v>296293200</v>
      </c>
      <c r="AG44" s="167"/>
      <c r="AH44" s="165">
        <f t="shared" si="1"/>
        <v>296293200</v>
      </c>
      <c r="AI44" s="173"/>
    </row>
    <row r="45" spans="1:37">
      <c r="A45" s="166" t="s">
        <v>192</v>
      </c>
      <c r="B45" s="191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>
        <v>296293200</v>
      </c>
      <c r="AG45" s="175"/>
      <c r="AH45" s="165">
        <f t="shared" si="1"/>
        <v>296293200</v>
      </c>
      <c r="AI45" s="173"/>
    </row>
    <row r="46" spans="1:37">
      <c r="A46" s="166" t="s">
        <v>326</v>
      </c>
      <c r="B46" s="191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>
        <v>103374298</v>
      </c>
      <c r="AG46" s="175"/>
      <c r="AH46" s="165">
        <f t="shared" si="1"/>
        <v>103374298</v>
      </c>
      <c r="AI46" s="173"/>
      <c r="AJ46" s="184"/>
      <c r="AK46" s="186"/>
    </row>
    <row r="47" spans="1:37">
      <c r="A47" s="187" t="s">
        <v>327</v>
      </c>
      <c r="B47" s="191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>
        <v>61709422</v>
      </c>
      <c r="AG47" s="175"/>
      <c r="AH47" s="165">
        <f t="shared" si="1"/>
        <v>61709422</v>
      </c>
      <c r="AI47" s="173"/>
      <c r="AJ47" s="184"/>
      <c r="AK47" s="186"/>
    </row>
    <row r="48" spans="1:37">
      <c r="A48" s="187" t="s">
        <v>328</v>
      </c>
      <c r="B48" s="191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>
        <f>33402690+54493879</f>
        <v>87896569</v>
      </c>
      <c r="AG48" s="175"/>
      <c r="AH48" s="165">
        <f t="shared" si="1"/>
        <v>87896569</v>
      </c>
      <c r="AI48" s="173"/>
      <c r="AJ48" s="184"/>
      <c r="AK48" s="185"/>
    </row>
    <row r="49" spans="1:37">
      <c r="A49" s="187" t="s">
        <v>330</v>
      </c>
      <c r="B49" s="191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>
        <v>416002400</v>
      </c>
      <c r="AG49" s="175"/>
      <c r="AH49" s="165">
        <f t="shared" si="1"/>
        <v>416002400</v>
      </c>
      <c r="AI49" s="173"/>
      <c r="AJ49" s="184"/>
      <c r="AK49" s="185"/>
    </row>
    <row r="50" spans="1:37">
      <c r="A50" s="187" t="s">
        <v>329</v>
      </c>
      <c r="B50" s="191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>
        <v>260658101</v>
      </c>
      <c r="AG50" s="175"/>
      <c r="AH50" s="165">
        <f t="shared" si="1"/>
        <v>260658101</v>
      </c>
      <c r="AI50" s="173"/>
      <c r="AJ50" s="184"/>
      <c r="AK50" s="185"/>
    </row>
    <row r="51" spans="1:37">
      <c r="A51" s="166" t="s">
        <v>351</v>
      </c>
      <c r="B51" s="191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65">
        <f t="shared" si="1"/>
        <v>0</v>
      </c>
      <c r="AI51" s="173"/>
      <c r="AJ51" s="184"/>
      <c r="AK51" s="185"/>
    </row>
    <row r="52" spans="1:37">
      <c r="A52" s="166" t="s">
        <v>352</v>
      </c>
      <c r="B52" s="191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65">
        <f t="shared" si="1"/>
        <v>0</v>
      </c>
      <c r="AI52" s="173"/>
      <c r="AJ52" s="184"/>
      <c r="AK52" s="185"/>
    </row>
    <row r="53" spans="1:37">
      <c r="A53" s="166" t="s">
        <v>353</v>
      </c>
      <c r="B53" s="191"/>
      <c r="C53" s="175"/>
      <c r="D53" s="170"/>
      <c r="E53" s="170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0"/>
      <c r="S53" s="170"/>
      <c r="T53" s="175"/>
      <c r="U53" s="175"/>
      <c r="V53" s="175"/>
      <c r="W53" s="170"/>
      <c r="X53" s="175"/>
      <c r="Y53" s="170"/>
      <c r="Z53" s="170"/>
      <c r="AA53" s="175"/>
      <c r="AB53" s="175"/>
      <c r="AC53" s="175"/>
      <c r="AD53" s="175"/>
      <c r="AE53" s="175"/>
      <c r="AF53" s="175"/>
      <c r="AG53" s="170"/>
      <c r="AH53" s="165">
        <f t="shared" si="1"/>
        <v>0</v>
      </c>
      <c r="AI53" s="173"/>
    </row>
    <row r="54" spans="1:37">
      <c r="A54" s="166" t="s">
        <v>321</v>
      </c>
      <c r="B54" s="191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65">
        <f t="shared" si="1"/>
        <v>0</v>
      </c>
      <c r="AI54" s="173"/>
      <c r="AJ54" s="184"/>
      <c r="AK54" s="186"/>
    </row>
    <row r="55" spans="1:37">
      <c r="A55" s="166" t="s">
        <v>322</v>
      </c>
      <c r="B55" s="191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65">
        <f t="shared" si="1"/>
        <v>0</v>
      </c>
      <c r="AI55" s="173"/>
      <c r="AJ55" s="184"/>
      <c r="AK55" s="185"/>
    </row>
    <row r="56" spans="1:37">
      <c r="A56" s="166" t="s">
        <v>323</v>
      </c>
      <c r="B56" s="191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65">
        <f t="shared" si="1"/>
        <v>0</v>
      </c>
      <c r="AI56" s="173"/>
      <c r="AJ56" s="184"/>
      <c r="AK56" s="185"/>
    </row>
    <row r="57" spans="1:37">
      <c r="A57" s="166" t="s">
        <v>324</v>
      </c>
      <c r="B57" s="191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65">
        <f t="shared" si="1"/>
        <v>0</v>
      </c>
      <c r="AI57" s="173"/>
      <c r="AJ57" s="184"/>
      <c r="AK57" s="186"/>
    </row>
    <row r="58" spans="1:37">
      <c r="A58" s="166" t="s">
        <v>325</v>
      </c>
      <c r="B58" s="191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65">
        <f t="shared" si="1"/>
        <v>0</v>
      </c>
      <c r="AI58" s="173"/>
      <c r="AJ58" s="184"/>
      <c r="AK58" s="186"/>
    </row>
    <row r="59" spans="1:37">
      <c r="A59" s="166" t="s">
        <v>385</v>
      </c>
      <c r="B59" s="191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2">
        <v>231426826</v>
      </c>
      <c r="AE59" s="175"/>
      <c r="AF59" s="175"/>
      <c r="AG59" s="175"/>
      <c r="AH59" s="165">
        <f t="shared" si="1"/>
        <v>231426826</v>
      </c>
      <c r="AI59" s="173"/>
      <c r="AJ59" s="184"/>
      <c r="AK59" s="186"/>
    </row>
    <row r="60" spans="1:37">
      <c r="A60" s="166" t="s">
        <v>24</v>
      </c>
      <c r="B60" s="191"/>
      <c r="C60" s="170"/>
      <c r="D60" s="175"/>
      <c r="E60" s="175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0"/>
      <c r="U60" s="170"/>
      <c r="V60" s="170"/>
      <c r="W60" s="175"/>
      <c r="X60" s="170"/>
      <c r="Y60" s="175"/>
      <c r="Z60" s="175"/>
      <c r="AA60" s="170"/>
      <c r="AB60" s="175"/>
      <c r="AC60" s="175"/>
      <c r="AD60" s="175"/>
      <c r="AE60" s="175"/>
      <c r="AF60" s="175"/>
      <c r="AG60" s="175"/>
      <c r="AH60" s="165">
        <f t="shared" si="1"/>
        <v>0</v>
      </c>
      <c r="AI60" s="173"/>
      <c r="AJ60" s="189"/>
    </row>
    <row r="61" spans="1:37">
      <c r="A61" s="166" t="s">
        <v>320</v>
      </c>
      <c r="B61" s="191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2">
        <v>195643405</v>
      </c>
      <c r="AB61" s="175"/>
      <c r="AC61" s="175"/>
      <c r="AD61" s="175"/>
      <c r="AE61" s="175"/>
      <c r="AF61" s="175"/>
      <c r="AG61" s="175"/>
      <c r="AH61" s="165">
        <f t="shared" si="1"/>
        <v>195643405</v>
      </c>
      <c r="AI61" s="173"/>
    </row>
    <row r="62" spans="1:37">
      <c r="A62" s="166" t="s">
        <v>331</v>
      </c>
      <c r="B62" s="191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>
        <v>261914623</v>
      </c>
      <c r="AG62" s="175"/>
      <c r="AH62" s="165">
        <f t="shared" si="1"/>
        <v>261914623</v>
      </c>
      <c r="AI62" s="173"/>
      <c r="AJ62" s="184"/>
      <c r="AK62" s="185"/>
    </row>
    <row r="63" spans="1:37">
      <c r="A63" s="166" t="s">
        <v>314</v>
      </c>
      <c r="B63" s="191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0"/>
      <c r="S63" s="170"/>
      <c r="T63" s="175"/>
      <c r="U63" s="175"/>
      <c r="V63" s="175"/>
      <c r="W63" s="175"/>
      <c r="X63" s="175"/>
      <c r="Y63" s="175"/>
      <c r="Z63" s="175"/>
      <c r="AA63" s="172">
        <v>1262251885</v>
      </c>
      <c r="AB63" s="175"/>
      <c r="AC63" s="175"/>
      <c r="AD63" s="175"/>
      <c r="AE63" s="175"/>
      <c r="AF63" s="175"/>
      <c r="AG63" s="175"/>
      <c r="AH63" s="165">
        <f t="shared" si="1"/>
        <v>1262251885</v>
      </c>
      <c r="AI63" s="173"/>
      <c r="AJ63" s="189"/>
    </row>
    <row r="64" spans="1:37">
      <c r="A64" s="166" t="s">
        <v>315</v>
      </c>
      <c r="B64" s="191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0"/>
      <c r="S64" s="170"/>
      <c r="T64" s="175"/>
      <c r="U64" s="175"/>
      <c r="V64" s="175"/>
      <c r="W64" s="175"/>
      <c r="X64" s="175"/>
      <c r="Y64" s="175"/>
      <c r="Z64" s="175"/>
      <c r="AA64" s="172">
        <v>623694141</v>
      </c>
      <c r="AB64" s="175"/>
      <c r="AC64" s="175"/>
      <c r="AD64" s="175"/>
      <c r="AE64" s="175"/>
      <c r="AF64" s="175"/>
      <c r="AG64" s="175"/>
      <c r="AH64" s="165">
        <f t="shared" si="1"/>
        <v>623694141</v>
      </c>
      <c r="AI64" s="173"/>
      <c r="AJ64" s="189"/>
    </row>
    <row r="65" spans="1:36">
      <c r="A65" s="166" t="s">
        <v>319</v>
      </c>
      <c r="B65" s="191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0"/>
      <c r="S65" s="170"/>
      <c r="T65" s="175"/>
      <c r="U65" s="175"/>
      <c r="V65" s="175"/>
      <c r="W65" s="175"/>
      <c r="X65" s="175"/>
      <c r="Y65" s="175"/>
      <c r="Z65" s="175"/>
      <c r="AA65" s="172">
        <v>662963457</v>
      </c>
      <c r="AB65" s="175"/>
      <c r="AC65" s="175"/>
      <c r="AD65" s="175"/>
      <c r="AE65" s="175"/>
      <c r="AF65" s="175"/>
      <c r="AG65" s="175"/>
      <c r="AH65" s="165">
        <f t="shared" si="1"/>
        <v>662963457</v>
      </c>
      <c r="AI65" s="173"/>
      <c r="AJ65" s="189"/>
    </row>
    <row r="66" spans="1:36">
      <c r="A66" s="166" t="s">
        <v>373</v>
      </c>
      <c r="B66" s="191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0"/>
      <c r="S66" s="170"/>
      <c r="T66" s="175"/>
      <c r="U66" s="175"/>
      <c r="V66" s="175"/>
      <c r="W66" s="175"/>
      <c r="X66" s="175"/>
      <c r="Y66" s="175"/>
      <c r="Z66" s="175"/>
      <c r="AA66" s="175"/>
      <c r="AB66" s="172">
        <v>831493108</v>
      </c>
      <c r="AC66" s="175"/>
      <c r="AD66" s="175"/>
      <c r="AE66" s="175"/>
      <c r="AF66" s="175"/>
      <c r="AG66" s="175"/>
      <c r="AH66" s="165">
        <f t="shared" si="1"/>
        <v>831493108</v>
      </c>
      <c r="AI66" s="173"/>
      <c r="AJ66" s="189"/>
    </row>
    <row r="67" spans="1:36">
      <c r="A67" s="166" t="s">
        <v>374</v>
      </c>
      <c r="B67" s="191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0"/>
      <c r="S67" s="170"/>
      <c r="T67" s="175"/>
      <c r="U67" s="175"/>
      <c r="V67" s="175"/>
      <c r="W67" s="175"/>
      <c r="X67" s="175"/>
      <c r="Y67" s="175"/>
      <c r="Z67" s="175"/>
      <c r="AA67" s="175"/>
      <c r="AB67" s="172">
        <v>392827071</v>
      </c>
      <c r="AC67" s="175"/>
      <c r="AD67" s="175"/>
      <c r="AE67" s="175"/>
      <c r="AF67" s="175"/>
      <c r="AG67" s="175"/>
      <c r="AH67" s="165">
        <f t="shared" si="1"/>
        <v>392827071</v>
      </c>
      <c r="AI67" s="173"/>
      <c r="AJ67" s="189"/>
    </row>
    <row r="68" spans="1:36">
      <c r="A68" s="166" t="s">
        <v>379</v>
      </c>
      <c r="B68" s="191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0"/>
      <c r="S68" s="170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>
        <v>927007983</v>
      </c>
      <c r="AG68" s="175"/>
      <c r="AH68" s="165">
        <f t="shared" si="1"/>
        <v>927007983</v>
      </c>
      <c r="AI68" s="173"/>
      <c r="AJ68" s="189"/>
    </row>
    <row r="69" spans="1:36">
      <c r="A69" s="166" t="s">
        <v>381</v>
      </c>
      <c r="B69" s="191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0"/>
      <c r="S69" s="170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>
        <v>704893662</v>
      </c>
      <c r="AG69" s="175"/>
      <c r="AH69" s="165">
        <f t="shared" si="1"/>
        <v>704893662</v>
      </c>
      <c r="AI69" s="173"/>
      <c r="AJ69" s="189"/>
    </row>
    <row r="70" spans="1:36">
      <c r="A70" s="166" t="s">
        <v>382</v>
      </c>
      <c r="B70" s="191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0"/>
      <c r="S70" s="170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>
        <v>166383008</v>
      </c>
      <c r="AG70" s="175"/>
      <c r="AH70" s="165">
        <f t="shared" si="1"/>
        <v>166383008</v>
      </c>
      <c r="AI70" s="173"/>
      <c r="AJ70" s="189"/>
    </row>
    <row r="71" spans="1:36">
      <c r="A71" s="166" t="s">
        <v>378</v>
      </c>
      <c r="B71" s="191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0"/>
      <c r="S71" s="170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>
        <v>395623327</v>
      </c>
      <c r="AG71" s="175"/>
      <c r="AH71" s="165">
        <f t="shared" si="1"/>
        <v>395623327</v>
      </c>
      <c r="AI71" s="173"/>
      <c r="AJ71" s="189"/>
    </row>
    <row r="72" spans="1:36">
      <c r="A72" s="166" t="s">
        <v>378</v>
      </c>
      <c r="B72" s="191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0"/>
      <c r="S72" s="170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>
        <v>2145110940</v>
      </c>
      <c r="AG72" s="175"/>
      <c r="AH72" s="165">
        <f t="shared" si="1"/>
        <v>2145110940</v>
      </c>
      <c r="AI72" s="173"/>
      <c r="AJ72" s="189"/>
    </row>
    <row r="73" spans="1:36">
      <c r="A73" s="166" t="s">
        <v>380</v>
      </c>
      <c r="B73" s="191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0"/>
      <c r="S73" s="170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>
        <v>320710708</v>
      </c>
      <c r="AG73" s="175"/>
      <c r="AH73" s="165">
        <f t="shared" si="1"/>
        <v>320710708</v>
      </c>
      <c r="AI73" s="173"/>
      <c r="AJ73" s="189"/>
    </row>
    <row r="74" spans="1:36">
      <c r="A74" s="166" t="s">
        <v>332</v>
      </c>
      <c r="B74" s="191"/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0"/>
      <c r="S74" s="170"/>
      <c r="T74" s="175"/>
      <c r="U74" s="175"/>
      <c r="V74" s="175"/>
      <c r="W74" s="175"/>
      <c r="X74" s="175"/>
      <c r="Y74" s="175"/>
      <c r="Z74" s="175"/>
      <c r="AA74" s="175"/>
      <c r="AB74" s="172">
        <v>143802460</v>
      </c>
      <c r="AC74" s="175"/>
      <c r="AD74" s="175"/>
      <c r="AE74" s="175"/>
      <c r="AF74" s="175"/>
      <c r="AG74" s="175"/>
      <c r="AH74" s="165">
        <f t="shared" si="1"/>
        <v>143802460</v>
      </c>
      <c r="AI74" s="173"/>
      <c r="AJ74" s="189"/>
    </row>
    <row r="75" spans="1:36">
      <c r="A75" s="166" t="s">
        <v>358</v>
      </c>
      <c r="B75" s="191"/>
      <c r="C75" s="175"/>
      <c r="D75" s="175"/>
      <c r="E75" s="175"/>
      <c r="F75" s="175"/>
      <c r="G75" s="175"/>
      <c r="H75" s="175"/>
      <c r="I75" s="172">
        <v>333919150</v>
      </c>
      <c r="J75" s="175"/>
      <c r="K75" s="175"/>
      <c r="L75" s="175"/>
      <c r="M75" s="175"/>
      <c r="N75" s="175"/>
      <c r="O75" s="175"/>
      <c r="P75" s="175"/>
      <c r="Q75" s="175"/>
      <c r="R75" s="170"/>
      <c r="S75" s="170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65">
        <f t="shared" si="1"/>
        <v>333919150</v>
      </c>
      <c r="AI75" s="173"/>
      <c r="AJ75" s="189"/>
    </row>
    <row r="76" spans="1:36">
      <c r="A76" s="166" t="s">
        <v>359</v>
      </c>
      <c r="B76" s="191"/>
      <c r="C76" s="175"/>
      <c r="D76" s="175"/>
      <c r="E76" s="175"/>
      <c r="F76" s="175"/>
      <c r="G76" s="175"/>
      <c r="H76" s="175"/>
      <c r="I76" s="172">
        <v>245856184</v>
      </c>
      <c r="J76" s="175"/>
      <c r="K76" s="175"/>
      <c r="L76" s="175"/>
      <c r="M76" s="175"/>
      <c r="N76" s="175"/>
      <c r="O76" s="175"/>
      <c r="P76" s="175"/>
      <c r="Q76" s="175"/>
      <c r="R76" s="170"/>
      <c r="S76" s="170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65">
        <f t="shared" si="1"/>
        <v>245856184</v>
      </c>
      <c r="AI76" s="173"/>
      <c r="AJ76" s="189"/>
    </row>
    <row r="77" spans="1:36">
      <c r="A77" s="166" t="s">
        <v>362</v>
      </c>
      <c r="B77" s="191"/>
      <c r="C77" s="175"/>
      <c r="D77" s="175"/>
      <c r="E77" s="175"/>
      <c r="F77" s="175"/>
      <c r="G77" s="175"/>
      <c r="H77" s="175"/>
      <c r="I77" s="172"/>
      <c r="J77" s="175"/>
      <c r="K77" s="175"/>
      <c r="L77" s="175"/>
      <c r="M77" s="175"/>
      <c r="N77" s="175"/>
      <c r="O77" s="175"/>
      <c r="P77" s="175"/>
      <c r="Q77" s="175"/>
      <c r="R77" s="170"/>
      <c r="S77" s="170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>
        <v>286729862</v>
      </c>
      <c r="AG77" s="175"/>
      <c r="AH77" s="165"/>
      <c r="AI77" s="173"/>
      <c r="AJ77" s="189"/>
    </row>
    <row r="78" spans="1:36">
      <c r="A78" s="166" t="s">
        <v>333</v>
      </c>
      <c r="B78" s="191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>
        <v>61003007</v>
      </c>
      <c r="AG78" s="167"/>
      <c r="AH78" s="165">
        <f t="shared" si="1"/>
        <v>61003007</v>
      </c>
      <c r="AI78" s="173"/>
    </row>
    <row r="79" spans="1:36">
      <c r="A79" s="166" t="s">
        <v>334</v>
      </c>
      <c r="B79" s="191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>
        <f>127319117+12869993</f>
        <v>140189110</v>
      </c>
      <c r="AG79" s="167"/>
      <c r="AH79" s="165">
        <f t="shared" si="1"/>
        <v>140189110</v>
      </c>
      <c r="AI79" s="173"/>
    </row>
    <row r="80" spans="1:36">
      <c r="A80" s="166" t="s">
        <v>335</v>
      </c>
      <c r="B80" s="191"/>
      <c r="C80" s="167"/>
      <c r="D80" s="175"/>
      <c r="E80" s="175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72"/>
      <c r="S80" s="172"/>
      <c r="T80" s="167"/>
      <c r="U80" s="167"/>
      <c r="V80" s="167"/>
      <c r="W80" s="175"/>
      <c r="X80" s="167"/>
      <c r="Y80" s="175"/>
      <c r="Z80" s="175"/>
      <c r="AA80" s="167"/>
      <c r="AB80" s="167"/>
      <c r="AC80" s="167"/>
      <c r="AD80" s="167"/>
      <c r="AE80" s="167"/>
      <c r="AF80" s="167">
        <v>149745116</v>
      </c>
      <c r="AG80" s="175"/>
      <c r="AH80" s="165">
        <f t="shared" si="1"/>
        <v>149745116</v>
      </c>
      <c r="AI80" s="173"/>
      <c r="AJ80" s="189"/>
    </row>
    <row r="81" spans="1:35">
      <c r="A81" s="166" t="s">
        <v>336</v>
      </c>
      <c r="B81" s="191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>
        <f>16444991+3574998+10724994</f>
        <v>30744983</v>
      </c>
      <c r="AG81" s="167"/>
      <c r="AH81" s="165">
        <f t="shared" si="1"/>
        <v>30744983</v>
      </c>
      <c r="AI81" s="173"/>
    </row>
    <row r="82" spans="1:35">
      <c r="A82" s="166" t="s">
        <v>337</v>
      </c>
      <c r="B82" s="191"/>
      <c r="C82" s="170"/>
      <c r="D82" s="168"/>
      <c r="E82" s="167"/>
      <c r="F82" s="168">
        <v>64033200</v>
      </c>
      <c r="G82" s="167"/>
      <c r="H82" s="168">
        <v>384622560</v>
      </c>
      <c r="I82" s="167"/>
      <c r="J82" s="167"/>
      <c r="K82" s="167"/>
      <c r="L82" s="167"/>
      <c r="M82" s="167"/>
      <c r="N82" s="168"/>
      <c r="O82" s="168"/>
      <c r="P82" s="168"/>
      <c r="Q82" s="168"/>
      <c r="R82" s="167"/>
      <c r="S82" s="167"/>
      <c r="T82" s="168"/>
      <c r="U82" s="168"/>
      <c r="V82" s="168"/>
      <c r="W82" s="167"/>
      <c r="X82" s="168"/>
      <c r="Y82" s="167"/>
      <c r="Z82" s="167"/>
      <c r="AA82" s="168"/>
      <c r="AB82" s="168"/>
      <c r="AC82" s="168"/>
      <c r="AD82" s="167"/>
      <c r="AE82" s="167"/>
      <c r="AF82" s="167"/>
      <c r="AG82" s="168"/>
      <c r="AH82" s="165">
        <f t="shared" si="1"/>
        <v>448655760</v>
      </c>
      <c r="AI82" s="173"/>
    </row>
    <row r="83" spans="1:35">
      <c r="A83" s="166" t="s">
        <v>337</v>
      </c>
      <c r="B83" s="191"/>
      <c r="C83" s="168">
        <v>534788176</v>
      </c>
      <c r="D83" s="167"/>
      <c r="E83" s="167"/>
      <c r="F83" s="167"/>
      <c r="G83" s="167"/>
      <c r="H83" s="167"/>
      <c r="I83" s="168"/>
      <c r="J83" s="168"/>
      <c r="K83" s="168"/>
      <c r="L83" s="168"/>
      <c r="M83" s="168">
        <v>158817506</v>
      </c>
      <c r="N83" s="168"/>
      <c r="O83" s="168"/>
      <c r="P83" s="168"/>
      <c r="Q83" s="168"/>
      <c r="R83" s="170"/>
      <c r="S83" s="170"/>
      <c r="T83" s="168">
        <v>220135205</v>
      </c>
      <c r="U83" s="168"/>
      <c r="V83" s="168"/>
      <c r="W83" s="170"/>
      <c r="X83" s="168"/>
      <c r="Y83" s="170"/>
      <c r="Z83" s="170"/>
      <c r="AA83" s="168"/>
      <c r="AB83" s="168"/>
      <c r="AC83" s="168"/>
      <c r="AD83" s="175"/>
      <c r="AE83" s="172">
        <v>32148900</v>
      </c>
      <c r="AF83" s="170"/>
      <c r="AG83" s="170"/>
      <c r="AH83" s="165">
        <f>SUM(C83:AG83)</f>
        <v>945889787</v>
      </c>
      <c r="AI83" s="173"/>
    </row>
    <row r="84" spans="1:35">
      <c r="A84" s="166" t="s">
        <v>337</v>
      </c>
      <c r="B84" s="191"/>
      <c r="C84" s="170"/>
      <c r="D84" s="168"/>
      <c r="E84" s="167"/>
      <c r="F84" s="168"/>
      <c r="G84" s="167"/>
      <c r="H84" s="168"/>
      <c r="I84" s="167"/>
      <c r="J84" s="167"/>
      <c r="K84" s="167"/>
      <c r="L84" s="167"/>
      <c r="M84" s="167"/>
      <c r="N84" s="168"/>
      <c r="O84" s="168"/>
      <c r="P84" s="168"/>
      <c r="Q84" s="168"/>
      <c r="R84" s="167"/>
      <c r="S84" s="167"/>
      <c r="T84" s="168"/>
      <c r="U84" s="168"/>
      <c r="V84" s="168"/>
      <c r="W84" s="167"/>
      <c r="X84" s="168"/>
      <c r="Y84" s="167"/>
      <c r="Z84" s="167"/>
      <c r="AA84" s="168"/>
      <c r="AB84" s="168"/>
      <c r="AC84" s="168"/>
      <c r="AD84" s="175"/>
      <c r="AE84" s="175"/>
      <c r="AF84" s="175">
        <v>224627760</v>
      </c>
      <c r="AG84" s="168"/>
      <c r="AH84" s="165"/>
      <c r="AI84" s="173"/>
    </row>
    <row r="85" spans="1:35">
      <c r="A85" s="166" t="s">
        <v>27</v>
      </c>
      <c r="B85" s="191"/>
      <c r="C85" s="168"/>
      <c r="D85" s="167"/>
      <c r="E85" s="167"/>
      <c r="F85" s="168">
        <f>96760000+99450000</f>
        <v>196210000</v>
      </c>
      <c r="G85" s="168"/>
      <c r="H85" s="168"/>
      <c r="I85" s="167"/>
      <c r="J85" s="167"/>
      <c r="K85" s="167"/>
      <c r="L85" s="167"/>
      <c r="M85" s="167"/>
      <c r="N85" s="170"/>
      <c r="O85" s="170"/>
      <c r="P85" s="170"/>
      <c r="Q85" s="170"/>
      <c r="R85" s="168"/>
      <c r="S85" s="168"/>
      <c r="T85" s="171">
        <v>92820000</v>
      </c>
      <c r="U85" s="167"/>
      <c r="V85" s="167"/>
      <c r="W85" s="168"/>
      <c r="X85" s="167"/>
      <c r="Y85" s="168"/>
      <c r="Z85" s="168"/>
      <c r="AA85" s="167"/>
      <c r="AB85" s="167"/>
      <c r="AC85" s="168">
        <v>192270000</v>
      </c>
      <c r="AD85" s="175"/>
      <c r="AE85" s="172">
        <f>101439000-6124759</f>
        <v>95314241</v>
      </c>
      <c r="AF85" s="168"/>
      <c r="AG85" s="168"/>
      <c r="AH85" s="165">
        <f t="shared" si="1"/>
        <v>576614241</v>
      </c>
      <c r="AI85" s="173"/>
    </row>
    <row r="86" spans="1:35">
      <c r="A86" s="187" t="s">
        <v>345</v>
      </c>
      <c r="B86" s="191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>
        <v>83500000</v>
      </c>
      <c r="AG86" s="167"/>
      <c r="AH86" s="165">
        <f t="shared" si="1"/>
        <v>83500000</v>
      </c>
      <c r="AI86" s="173"/>
    </row>
    <row r="87" spans="1:35">
      <c r="A87" s="187" t="s">
        <v>346</v>
      </c>
      <c r="B87" s="191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>
        <v>83500000</v>
      </c>
      <c r="AG87" s="167"/>
      <c r="AH87" s="165">
        <f t="shared" si="1"/>
        <v>83500000</v>
      </c>
      <c r="AI87" s="173"/>
    </row>
    <row r="88" spans="1:35">
      <c r="A88" s="187" t="s">
        <v>338</v>
      </c>
      <c r="B88" s="191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>
        <v>167000000</v>
      </c>
      <c r="AG88" s="167"/>
      <c r="AH88" s="165">
        <f t="shared" si="1"/>
        <v>167000000</v>
      </c>
      <c r="AI88" s="173"/>
    </row>
    <row r="89" spans="1:35">
      <c r="A89" s="187" t="s">
        <v>339</v>
      </c>
      <c r="B89" s="191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>
        <v>250500</v>
      </c>
      <c r="AG89" s="167"/>
      <c r="AH89" s="165">
        <f t="shared" si="1"/>
        <v>250500</v>
      </c>
      <c r="AI89" s="173"/>
    </row>
    <row r="90" spans="1:35">
      <c r="A90" s="187" t="s">
        <v>340</v>
      </c>
      <c r="B90" s="191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>
        <v>18300000</v>
      </c>
      <c r="AG90" s="167"/>
      <c r="AH90" s="165">
        <f t="shared" si="1"/>
        <v>18300000</v>
      </c>
      <c r="AI90" s="173"/>
    </row>
    <row r="91" spans="1:35">
      <c r="A91" s="187" t="s">
        <v>341</v>
      </c>
      <c r="B91" s="191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>
        <v>6100000</v>
      </c>
      <c r="AG91" s="167"/>
      <c r="AH91" s="165">
        <f t="shared" si="1"/>
        <v>6100000</v>
      </c>
      <c r="AI91" s="173"/>
    </row>
    <row r="92" spans="1:35">
      <c r="A92" s="187" t="s">
        <v>342</v>
      </c>
      <c r="B92" s="191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>
        <v>66800000</v>
      </c>
      <c r="AG92" s="167"/>
      <c r="AH92" s="165">
        <f t="shared" si="1"/>
        <v>66800000</v>
      </c>
      <c r="AI92" s="173"/>
    </row>
    <row r="93" spans="1:35">
      <c r="A93" s="187" t="s">
        <v>343</v>
      </c>
      <c r="B93" s="191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>
        <v>88825000</v>
      </c>
      <c r="AG93" s="167"/>
      <c r="AH93" s="165">
        <f t="shared" si="1"/>
        <v>88825000</v>
      </c>
      <c r="AI93" s="173"/>
    </row>
    <row r="94" spans="1:35">
      <c r="A94" s="187" t="s">
        <v>344</v>
      </c>
      <c r="B94" s="191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>
        <v>1100000</v>
      </c>
      <c r="AG94" s="167"/>
      <c r="AH94" s="165">
        <f t="shared" si="1"/>
        <v>1100000</v>
      </c>
      <c r="AI94" s="173"/>
    </row>
    <row r="95" spans="1:35">
      <c r="A95" s="166" t="s">
        <v>30</v>
      </c>
      <c r="B95" s="191"/>
      <c r="C95" s="170"/>
      <c r="D95" s="170"/>
      <c r="E95" s="170"/>
      <c r="F95" s="170"/>
      <c r="G95" s="170"/>
      <c r="H95" s="170"/>
      <c r="I95" s="171"/>
      <c r="J95" s="170"/>
      <c r="K95" s="170"/>
      <c r="L95" s="170"/>
      <c r="M95" s="170"/>
      <c r="N95" s="170"/>
      <c r="O95" s="170"/>
      <c r="P95" s="167"/>
      <c r="Q95" s="170"/>
      <c r="R95" s="170"/>
      <c r="S95" s="170"/>
      <c r="T95" s="167"/>
      <c r="U95" s="167"/>
      <c r="V95" s="170"/>
      <c r="W95" s="167"/>
      <c r="X95" s="170"/>
      <c r="Y95" s="167"/>
      <c r="Z95" s="167"/>
      <c r="AA95" s="170"/>
      <c r="AB95" s="167"/>
      <c r="AC95" s="167"/>
      <c r="AD95" s="167"/>
      <c r="AE95" s="170"/>
      <c r="AF95" s="170"/>
      <c r="AG95" s="170"/>
      <c r="AH95" s="165">
        <f t="shared" si="1"/>
        <v>0</v>
      </c>
      <c r="AI95" s="173"/>
    </row>
    <row r="96" spans="1:35">
      <c r="A96" s="166" t="s">
        <v>347</v>
      </c>
      <c r="B96" s="191"/>
      <c r="C96" s="170"/>
      <c r="D96" s="170"/>
      <c r="E96" s="170"/>
      <c r="F96" s="171">
        <v>18143950</v>
      </c>
      <c r="G96" s="170"/>
      <c r="H96" s="170"/>
      <c r="I96" s="171">
        <v>181439500</v>
      </c>
      <c r="J96" s="170"/>
      <c r="K96" s="170"/>
      <c r="L96" s="170"/>
      <c r="M96" s="170"/>
      <c r="N96" s="170"/>
      <c r="O96" s="170"/>
      <c r="P96" s="167"/>
      <c r="Q96" s="171"/>
      <c r="R96" s="170"/>
      <c r="S96" s="170"/>
      <c r="T96" s="167"/>
      <c r="U96" s="168">
        <v>181439500</v>
      </c>
      <c r="V96" s="170"/>
      <c r="W96" s="167"/>
      <c r="X96" s="170"/>
      <c r="Y96" s="167"/>
      <c r="Z96" s="167"/>
      <c r="AA96" s="170"/>
      <c r="AB96" s="167"/>
      <c r="AC96" s="167"/>
      <c r="AD96" s="167"/>
      <c r="AE96" s="170"/>
      <c r="AF96" s="170"/>
      <c r="AG96" s="170"/>
      <c r="AH96" s="165">
        <f t="shared" si="1"/>
        <v>381022950</v>
      </c>
      <c r="AI96" s="173"/>
    </row>
    <row r="97" spans="1:35">
      <c r="A97" s="192" t="s">
        <v>46</v>
      </c>
      <c r="B97" s="191"/>
      <c r="C97" s="168"/>
      <c r="D97" s="168"/>
      <c r="E97" s="168"/>
      <c r="F97" s="168"/>
      <c r="G97" s="171"/>
      <c r="H97" s="171">
        <f>459980323</f>
        <v>459980323</v>
      </c>
      <c r="I97" s="172">
        <f>454085860</f>
        <v>454085860</v>
      </c>
      <c r="J97" s="168">
        <v>558133192</v>
      </c>
      <c r="K97" s="167"/>
      <c r="L97" s="167"/>
      <c r="M97" s="168">
        <f>594495076</f>
        <v>594495076</v>
      </c>
      <c r="N97" s="172">
        <v>356361074</v>
      </c>
      <c r="O97" s="168">
        <v>546942851</v>
      </c>
      <c r="P97" s="168">
        <v>452455698</v>
      </c>
      <c r="Q97" s="171">
        <v>502519990</v>
      </c>
      <c r="R97" s="170"/>
      <c r="S97" s="170"/>
      <c r="T97" s="168">
        <v>571247226</v>
      </c>
      <c r="U97" s="168"/>
      <c r="V97" s="170"/>
      <c r="W97" s="168"/>
      <c r="X97" s="170"/>
      <c r="Y97" s="168"/>
      <c r="Z97" s="168"/>
      <c r="AA97" s="171">
        <f>84031525+94665900+76581121+76581121</f>
        <v>331859667</v>
      </c>
      <c r="AB97" s="172">
        <f>18180950+12541000</f>
        <v>30721950</v>
      </c>
      <c r="AC97" s="168"/>
      <c r="AD97" s="168">
        <v>35000000</v>
      </c>
      <c r="AE97" s="171"/>
      <c r="AF97" s="171"/>
      <c r="AG97" s="168"/>
      <c r="AH97" s="165">
        <f t="shared" si="1"/>
        <v>4893802907</v>
      </c>
      <c r="AI97" s="173"/>
    </row>
    <row r="98" spans="1:35">
      <c r="A98" s="192" t="s">
        <v>47</v>
      </c>
      <c r="B98" s="191"/>
      <c r="C98" s="168"/>
      <c r="D98" s="168"/>
      <c r="E98" s="168"/>
      <c r="F98" s="168"/>
      <c r="G98" s="171"/>
      <c r="H98" s="171">
        <v>75100</v>
      </c>
      <c r="I98" s="175"/>
      <c r="J98" s="167"/>
      <c r="K98" s="167"/>
      <c r="L98" s="167"/>
      <c r="M98" s="167"/>
      <c r="N98" s="175"/>
      <c r="O98" s="168">
        <v>22260000</v>
      </c>
      <c r="P98" s="167"/>
      <c r="Q98" s="171"/>
      <c r="R98" s="170"/>
      <c r="S98" s="170"/>
      <c r="T98" s="168"/>
      <c r="U98" s="168"/>
      <c r="V98" s="170"/>
      <c r="W98" s="167"/>
      <c r="X98" s="170"/>
      <c r="Y98" s="168"/>
      <c r="Z98" s="168"/>
      <c r="AA98" s="170"/>
      <c r="AB98" s="172"/>
      <c r="AC98" s="168"/>
      <c r="AD98" s="168">
        <v>17070000</v>
      </c>
      <c r="AE98" s="168"/>
      <c r="AF98" s="168"/>
      <c r="AG98" s="168"/>
      <c r="AH98" s="165">
        <f t="shared" si="1"/>
        <v>39405100</v>
      </c>
      <c r="AI98" s="173"/>
    </row>
    <row r="99" spans="1:35">
      <c r="A99" s="192" t="s">
        <v>213</v>
      </c>
      <c r="B99" s="191"/>
      <c r="C99" s="168"/>
      <c r="D99" s="168"/>
      <c r="E99" s="168"/>
      <c r="F99" s="168">
        <v>500000000</v>
      </c>
      <c r="G99" s="171"/>
      <c r="H99" s="171"/>
      <c r="I99" s="175"/>
      <c r="J99" s="167"/>
      <c r="K99" s="167"/>
      <c r="L99" s="167"/>
      <c r="M99" s="168">
        <v>500000000</v>
      </c>
      <c r="N99" s="168"/>
      <c r="O99" s="170"/>
      <c r="P99" s="168">
        <v>2500000000</v>
      </c>
      <c r="Q99" s="171"/>
      <c r="R99" s="171"/>
      <c r="S99" s="171"/>
      <c r="T99" s="168">
        <v>1500000000</v>
      </c>
      <c r="U99" s="171"/>
      <c r="V99" s="171"/>
      <c r="W99" s="167"/>
      <c r="X99" s="171"/>
      <c r="Y99" s="168"/>
      <c r="Z99" s="168"/>
      <c r="AA99" s="171"/>
      <c r="AB99" s="171"/>
      <c r="AC99" s="168"/>
      <c r="AD99" s="168"/>
      <c r="AE99" s="168"/>
      <c r="AF99" s="168"/>
      <c r="AG99" s="168"/>
      <c r="AH99" s="165">
        <f t="shared" si="1"/>
        <v>5000000000</v>
      </c>
      <c r="AI99" s="173"/>
    </row>
    <row r="100" spans="1:35">
      <c r="A100" s="192" t="s">
        <v>119</v>
      </c>
      <c r="B100" s="191"/>
      <c r="C100" s="175"/>
      <c r="D100" s="230"/>
      <c r="E100" s="230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>
        <v>3000000000</v>
      </c>
      <c r="AG100" s="175"/>
      <c r="AH100" s="165">
        <f t="shared" si="1"/>
        <v>3000000000</v>
      </c>
      <c r="AI100" s="173"/>
    </row>
    <row r="101" spans="1:35">
      <c r="A101" s="195" t="s">
        <v>32</v>
      </c>
      <c r="B101" s="196"/>
      <c r="C101" s="197">
        <f>SUM(C9:C100)</f>
        <v>554155467</v>
      </c>
      <c r="D101" s="197">
        <f>SUM(D9:D100)</f>
        <v>0</v>
      </c>
      <c r="E101" s="197">
        <f>SUM(E9:E100)</f>
        <v>0</v>
      </c>
      <c r="F101" s="197">
        <f>SUM(F9:F100)</f>
        <v>970149176</v>
      </c>
      <c r="G101" s="197">
        <f>SUM(G7:G100)</f>
        <v>2991554473</v>
      </c>
      <c r="H101" s="197">
        <f t="shared" ref="H101:AH101" si="2">SUM(H9:H100)</f>
        <v>844677983</v>
      </c>
      <c r="I101" s="197">
        <f t="shared" si="2"/>
        <v>3101320037</v>
      </c>
      <c r="J101" s="197">
        <f t="shared" si="2"/>
        <v>592307595</v>
      </c>
      <c r="K101" s="197">
        <f t="shared" si="2"/>
        <v>0</v>
      </c>
      <c r="L101" s="197">
        <f t="shared" si="2"/>
        <v>0</v>
      </c>
      <c r="M101" s="197">
        <f t="shared" si="2"/>
        <v>1253312582</v>
      </c>
      <c r="N101" s="197">
        <f t="shared" si="2"/>
        <v>515053067</v>
      </c>
      <c r="O101" s="197">
        <f t="shared" si="2"/>
        <v>569202851</v>
      </c>
      <c r="P101" s="197">
        <f t="shared" si="2"/>
        <v>2952455698</v>
      </c>
      <c r="Q101" s="197">
        <f t="shared" si="2"/>
        <v>1202730171</v>
      </c>
      <c r="R101" s="197">
        <f t="shared" si="2"/>
        <v>0</v>
      </c>
      <c r="S101" s="197">
        <f t="shared" si="2"/>
        <v>0</v>
      </c>
      <c r="T101" s="197">
        <f t="shared" si="2"/>
        <v>2695831463</v>
      </c>
      <c r="U101" s="197">
        <f t="shared" si="2"/>
        <v>349902875</v>
      </c>
      <c r="V101" s="197">
        <f t="shared" si="2"/>
        <v>0</v>
      </c>
      <c r="W101" s="197">
        <f t="shared" si="2"/>
        <v>0</v>
      </c>
      <c r="X101" s="197">
        <f t="shared" si="2"/>
        <v>274975200</v>
      </c>
      <c r="Y101" s="197">
        <f t="shared" si="2"/>
        <v>0</v>
      </c>
      <c r="Z101" s="197">
        <f t="shared" si="2"/>
        <v>0</v>
      </c>
      <c r="AA101" s="197">
        <f t="shared" si="2"/>
        <v>3269241043</v>
      </c>
      <c r="AB101" s="197">
        <f t="shared" si="2"/>
        <v>1772270019</v>
      </c>
      <c r="AC101" s="197">
        <f t="shared" si="2"/>
        <v>192270000</v>
      </c>
      <c r="AD101" s="197">
        <f t="shared" si="2"/>
        <v>847496262</v>
      </c>
      <c r="AE101" s="197">
        <f t="shared" si="2"/>
        <v>127463141</v>
      </c>
      <c r="AF101" s="197">
        <f t="shared" si="2"/>
        <v>11936089114</v>
      </c>
      <c r="AG101" s="197">
        <f t="shared" si="2"/>
        <v>0</v>
      </c>
      <c r="AH101" s="198">
        <f t="shared" si="2"/>
        <v>33512292740</v>
      </c>
    </row>
    <row r="102" spans="1:35">
      <c r="A102" s="199"/>
      <c r="B102" s="162"/>
      <c r="C102" s="200"/>
      <c r="D102" s="200"/>
      <c r="E102" s="165"/>
      <c r="F102" s="165"/>
      <c r="G102" s="165"/>
      <c r="H102" s="165"/>
      <c r="I102" s="165"/>
      <c r="J102" s="200"/>
      <c r="K102" s="200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90">
        <v>0</v>
      </c>
      <c r="X102" s="190">
        <v>0</v>
      </c>
      <c r="Y102" s="190">
        <v>0</v>
      </c>
      <c r="Z102" s="190">
        <v>0</v>
      </c>
      <c r="AA102" s="190">
        <v>0</v>
      </c>
      <c r="AB102" s="190">
        <v>0</v>
      </c>
      <c r="AC102" s="165"/>
      <c r="AD102" s="165"/>
      <c r="AE102" s="165"/>
      <c r="AF102" s="165"/>
      <c r="AG102" s="165"/>
      <c r="AH102" s="201"/>
      <c r="AI102" s="154"/>
    </row>
    <row r="103" spans="1:35">
      <c r="A103" s="202" t="s">
        <v>33</v>
      </c>
      <c r="B103" s="162"/>
      <c r="C103" s="200"/>
      <c r="D103" s="200"/>
      <c r="E103" s="165"/>
      <c r="F103" s="165"/>
      <c r="G103" s="165"/>
      <c r="H103" s="165"/>
      <c r="I103" s="165"/>
      <c r="J103" s="200"/>
      <c r="K103" s="200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200"/>
      <c r="AB103" s="200"/>
      <c r="AC103" s="165"/>
      <c r="AD103" s="165"/>
      <c r="AE103" s="165"/>
      <c r="AF103" s="165"/>
      <c r="AG103" s="165"/>
      <c r="AH103" s="201">
        <f>SUM(B103:AG103)</f>
        <v>0</v>
      </c>
      <c r="AI103" s="154"/>
    </row>
    <row r="104" spans="1:35">
      <c r="A104" s="203" t="s">
        <v>34</v>
      </c>
      <c r="B104" s="204"/>
      <c r="C104" s="205"/>
      <c r="D104" s="200"/>
      <c r="E104" s="200"/>
      <c r="F104" s="204"/>
      <c r="G104" s="204"/>
      <c r="H104" s="204"/>
      <c r="I104" s="200"/>
      <c r="J104" s="200"/>
      <c r="K104" s="200"/>
      <c r="L104" s="204"/>
      <c r="M104" s="200"/>
      <c r="N104" s="200">
        <v>1490963339</v>
      </c>
      <c r="O104" s="206"/>
      <c r="P104" s="200"/>
      <c r="Q104" s="200"/>
      <c r="R104" s="200"/>
      <c r="S104" s="200"/>
      <c r="T104" s="200"/>
      <c r="U104" s="207">
        <v>729126569</v>
      </c>
      <c r="V104" s="204"/>
      <c r="W104" s="204"/>
      <c r="X104" s="200">
        <v>1610898739</v>
      </c>
      <c r="Y104" s="200"/>
      <c r="Z104" s="200"/>
      <c r="AA104" s="200"/>
      <c r="AB104" s="200">
        <v>551112328</v>
      </c>
      <c r="AC104" s="204"/>
      <c r="AD104" s="200">
        <v>2379454076</v>
      </c>
      <c r="AE104" s="200">
        <v>603547216</v>
      </c>
      <c r="AF104" s="205"/>
      <c r="AG104" s="204"/>
      <c r="AH104" s="201">
        <f>SUM(B104:AG104)</f>
        <v>7365102267</v>
      </c>
      <c r="AI104" s="173"/>
    </row>
    <row r="105" spans="1:35">
      <c r="A105" s="203" t="s">
        <v>198</v>
      </c>
      <c r="B105" s="204"/>
      <c r="C105" s="205"/>
      <c r="D105" s="200"/>
      <c r="E105" s="205"/>
      <c r="F105" s="204"/>
      <c r="G105" s="204"/>
      <c r="H105" s="204"/>
      <c r="I105" s="200"/>
      <c r="J105" s="200"/>
      <c r="K105" s="200"/>
      <c r="L105" s="204"/>
      <c r="M105" s="200"/>
      <c r="N105" s="200">
        <v>9225336</v>
      </c>
      <c r="O105" s="206"/>
      <c r="P105" s="200"/>
      <c r="Q105" s="200"/>
      <c r="R105" s="200"/>
      <c r="S105" s="200"/>
      <c r="T105" s="200"/>
      <c r="U105" s="207"/>
      <c r="V105" s="204"/>
      <c r="W105" s="204"/>
      <c r="X105" s="200">
        <v>11074929</v>
      </c>
      <c r="Y105" s="200"/>
      <c r="Z105" s="200"/>
      <c r="AA105" s="200"/>
      <c r="AB105" s="200"/>
      <c r="AC105" s="200"/>
      <c r="AD105" s="200"/>
      <c r="AE105" s="200">
        <v>3457823</v>
      </c>
      <c r="AF105" s="205"/>
      <c r="AG105" s="204"/>
      <c r="AH105" s="201">
        <f t="shared" ref="AH105:AH122" si="3">SUM(B105:AG105)</f>
        <v>23758088</v>
      </c>
      <c r="AI105" s="173"/>
    </row>
    <row r="106" spans="1:35">
      <c r="A106" s="203" t="s">
        <v>227</v>
      </c>
      <c r="B106" s="204"/>
      <c r="C106" s="205"/>
      <c r="D106" s="200"/>
      <c r="E106" s="205"/>
      <c r="F106" s="204"/>
      <c r="G106" s="200">
        <f>3409389326+3725603705</f>
        <v>7134993031</v>
      </c>
      <c r="H106" s="200"/>
      <c r="I106" s="200">
        <v>787011913</v>
      </c>
      <c r="J106" s="200">
        <v>1147276528</v>
      </c>
      <c r="K106" s="200"/>
      <c r="L106" s="204"/>
      <c r="M106" s="200"/>
      <c r="N106" s="200">
        <v>741293303</v>
      </c>
      <c r="O106" s="205"/>
      <c r="P106" s="200"/>
      <c r="Q106" s="200">
        <v>1614377870</v>
      </c>
      <c r="R106" s="200"/>
      <c r="S106" s="200"/>
      <c r="T106" s="200"/>
      <c r="U106" s="207">
        <v>3604350490</v>
      </c>
      <c r="V106" s="204"/>
      <c r="W106" s="200"/>
      <c r="X106" s="200">
        <v>3956674035</v>
      </c>
      <c r="Y106" s="200"/>
      <c r="Z106" s="200"/>
      <c r="AA106" s="200">
        <v>1279043237</v>
      </c>
      <c r="AB106" s="200">
        <v>2802737218</v>
      </c>
      <c r="AC106" s="200"/>
      <c r="AD106" s="200">
        <v>2387308652</v>
      </c>
      <c r="AE106" s="207">
        <v>3044055621</v>
      </c>
      <c r="AF106" s="205"/>
      <c r="AG106" s="204"/>
      <c r="AH106" s="201">
        <f t="shared" si="3"/>
        <v>28499121898</v>
      </c>
      <c r="AI106" s="173"/>
    </row>
    <row r="107" spans="1:35">
      <c r="A107" s="203" t="s">
        <v>227</v>
      </c>
      <c r="B107" s="204"/>
      <c r="C107" s="205"/>
      <c r="D107" s="200"/>
      <c r="E107" s="205"/>
      <c r="F107" s="204"/>
      <c r="G107" s="200"/>
      <c r="H107" s="200"/>
      <c r="I107" s="200"/>
      <c r="J107" s="200"/>
      <c r="K107" s="200"/>
      <c r="L107" s="204"/>
      <c r="M107" s="200"/>
      <c r="N107" s="200"/>
      <c r="O107" s="205"/>
      <c r="P107" s="200"/>
      <c r="Q107" s="200"/>
      <c r="R107" s="200"/>
      <c r="S107" s="200"/>
      <c r="T107" s="200"/>
      <c r="U107" s="207"/>
      <c r="V107" s="204"/>
      <c r="W107" s="200"/>
      <c r="X107" s="200"/>
      <c r="Y107" s="200"/>
      <c r="Z107" s="200"/>
      <c r="AA107" s="200"/>
      <c r="AB107" s="200"/>
      <c r="AC107" s="200"/>
      <c r="AD107" s="200">
        <v>2998519115</v>
      </c>
      <c r="AE107" s="207">
        <v>3668689146</v>
      </c>
      <c r="AF107" s="205"/>
      <c r="AG107" s="204"/>
      <c r="AH107" s="201">
        <f t="shared" si="3"/>
        <v>6667208261</v>
      </c>
      <c r="AI107" s="173"/>
    </row>
    <row r="108" spans="1:35">
      <c r="A108" s="203" t="s">
        <v>199</v>
      </c>
      <c r="B108" s="204"/>
      <c r="C108" s="208"/>
      <c r="D108" s="164"/>
      <c r="E108" s="205"/>
      <c r="F108" s="200"/>
      <c r="G108" s="200">
        <v>50195161</v>
      </c>
      <c r="H108" s="164"/>
      <c r="I108" s="200">
        <v>5198651</v>
      </c>
      <c r="J108" s="164"/>
      <c r="K108" s="164"/>
      <c r="L108" s="200"/>
      <c r="M108" s="200"/>
      <c r="N108" s="200">
        <v>4733638</v>
      </c>
      <c r="O108" s="205"/>
      <c r="P108" s="200"/>
      <c r="Q108" s="176">
        <v>10539815</v>
      </c>
      <c r="R108" s="205"/>
      <c r="S108" s="200"/>
      <c r="T108" s="205"/>
      <c r="U108" s="207"/>
      <c r="V108" s="200"/>
      <c r="W108" s="200"/>
      <c r="X108" s="200">
        <v>28806463</v>
      </c>
      <c r="Y108" s="200"/>
      <c r="Z108" s="200"/>
      <c r="AA108" s="200">
        <v>8740129</v>
      </c>
      <c r="AB108" s="164"/>
      <c r="AC108" s="200"/>
      <c r="AD108" s="180"/>
      <c r="AE108" s="207">
        <v>41766432</v>
      </c>
      <c r="AF108" s="205"/>
      <c r="AG108" s="204"/>
      <c r="AH108" s="201">
        <f t="shared" si="3"/>
        <v>149980289</v>
      </c>
      <c r="AI108" s="173"/>
    </row>
    <row r="109" spans="1:35">
      <c r="A109" s="203" t="s">
        <v>228</v>
      </c>
      <c r="B109" s="204"/>
      <c r="C109" s="205"/>
      <c r="D109" s="205"/>
      <c r="E109" s="205"/>
      <c r="F109" s="200"/>
      <c r="G109" s="200"/>
      <c r="H109" s="200"/>
      <c r="I109" s="200"/>
      <c r="J109" s="200">
        <v>1664119399</v>
      </c>
      <c r="K109" s="200"/>
      <c r="L109" s="210"/>
      <c r="M109" s="200"/>
      <c r="N109" s="200"/>
      <c r="O109" s="205"/>
      <c r="P109" s="205"/>
      <c r="Q109" s="200">
        <v>744777419</v>
      </c>
      <c r="R109" s="200"/>
      <c r="S109" s="200"/>
      <c r="T109" s="205"/>
      <c r="U109" s="209"/>
      <c r="V109" s="204"/>
      <c r="W109" s="200"/>
      <c r="X109" s="200"/>
      <c r="Y109" s="176"/>
      <c r="Z109" s="200"/>
      <c r="AA109" s="200"/>
      <c r="AB109" s="200"/>
      <c r="AC109" s="200"/>
      <c r="AD109" s="204"/>
      <c r="AE109" s="200"/>
      <c r="AF109" s="205"/>
      <c r="AG109" s="204"/>
      <c r="AH109" s="201">
        <f t="shared" si="3"/>
        <v>2408896818</v>
      </c>
      <c r="AI109" s="173"/>
    </row>
    <row r="110" spans="1:35">
      <c r="A110" s="203" t="s">
        <v>200</v>
      </c>
      <c r="B110" s="204"/>
      <c r="C110" s="205"/>
      <c r="D110" s="205"/>
      <c r="E110" s="205"/>
      <c r="F110" s="200"/>
      <c r="G110" s="200"/>
      <c r="H110" s="200"/>
      <c r="I110" s="200"/>
      <c r="J110" s="200"/>
      <c r="K110" s="200"/>
      <c r="L110" s="210"/>
      <c r="M110" s="200"/>
      <c r="N110" s="200"/>
      <c r="O110" s="205"/>
      <c r="P110" s="205"/>
      <c r="Q110" s="200">
        <v>5027248</v>
      </c>
      <c r="R110" s="200"/>
      <c r="S110" s="200"/>
      <c r="T110" s="205"/>
      <c r="U110" s="205"/>
      <c r="V110" s="204"/>
      <c r="W110" s="200"/>
      <c r="X110" s="200"/>
      <c r="Y110" s="176"/>
      <c r="Z110" s="200"/>
      <c r="AA110" s="200"/>
      <c r="AB110" s="200"/>
      <c r="AC110" s="200"/>
      <c r="AD110" s="204"/>
      <c r="AE110" s="200"/>
      <c r="AF110" s="205"/>
      <c r="AG110" s="204"/>
      <c r="AH110" s="201">
        <f t="shared" si="3"/>
        <v>5027248</v>
      </c>
      <c r="AI110" s="173"/>
    </row>
    <row r="111" spans="1:35">
      <c r="A111" s="203" t="s">
        <v>36</v>
      </c>
      <c r="B111" s="204"/>
      <c r="C111" s="205"/>
      <c r="D111" s="205"/>
      <c r="E111" s="205"/>
      <c r="F111" s="200"/>
      <c r="G111" s="200"/>
      <c r="H111" s="204"/>
      <c r="I111" s="200">
        <v>2317920758</v>
      </c>
      <c r="J111" s="200">
        <v>1567331498</v>
      </c>
      <c r="K111" s="200"/>
      <c r="L111" s="210"/>
      <c r="M111" s="200"/>
      <c r="N111" s="200"/>
      <c r="O111" s="206"/>
      <c r="P111" s="205"/>
      <c r="Q111" s="200"/>
      <c r="R111" s="200"/>
      <c r="S111" s="200"/>
      <c r="T111" s="205"/>
      <c r="U111" s="205"/>
      <c r="V111" s="204"/>
      <c r="W111" s="200"/>
      <c r="X111" s="200"/>
      <c r="Y111" s="176"/>
      <c r="Z111" s="200"/>
      <c r="AA111" s="200">
        <v>4297255976</v>
      </c>
      <c r="AB111" s="200"/>
      <c r="AC111" s="200"/>
      <c r="AD111" s="204"/>
      <c r="AE111" s="200"/>
      <c r="AF111" s="205"/>
      <c r="AG111" s="204"/>
      <c r="AH111" s="201">
        <f t="shared" si="3"/>
        <v>8182508232</v>
      </c>
      <c r="AI111" s="173"/>
    </row>
    <row r="112" spans="1:35">
      <c r="A112" s="203" t="s">
        <v>242</v>
      </c>
      <c r="B112" s="204"/>
      <c r="C112" s="205"/>
      <c r="D112" s="205"/>
      <c r="E112" s="205"/>
      <c r="F112" s="200"/>
      <c r="G112" s="200"/>
      <c r="H112" s="204"/>
      <c r="I112" s="200">
        <v>16338122</v>
      </c>
      <c r="J112" s="200"/>
      <c r="K112" s="200"/>
      <c r="L112" s="210"/>
      <c r="M112" s="200"/>
      <c r="N112" s="200"/>
      <c r="O112" s="206"/>
      <c r="P112" s="205"/>
      <c r="Q112" s="200"/>
      <c r="R112" s="200"/>
      <c r="S112" s="200"/>
      <c r="T112" s="205"/>
      <c r="U112" s="205"/>
      <c r="V112" s="204"/>
      <c r="W112" s="200"/>
      <c r="X112" s="200"/>
      <c r="Y112" s="176"/>
      <c r="Z112" s="200"/>
      <c r="AA112" s="200">
        <v>31334158</v>
      </c>
      <c r="AB112" s="200"/>
      <c r="AC112" s="204"/>
      <c r="AD112" s="204"/>
      <c r="AE112" s="200"/>
      <c r="AF112" s="205"/>
      <c r="AG112" s="204"/>
      <c r="AH112" s="201">
        <f t="shared" si="3"/>
        <v>47672280</v>
      </c>
      <c r="AI112" s="173"/>
    </row>
    <row r="113" spans="1:35">
      <c r="A113" s="162" t="s">
        <v>53</v>
      </c>
      <c r="B113" s="204"/>
      <c r="C113" s="205"/>
      <c r="D113" s="180"/>
      <c r="E113" s="205"/>
      <c r="F113" s="200"/>
      <c r="G113" s="200"/>
      <c r="H113" s="200"/>
      <c r="I113" s="200"/>
      <c r="J113" s="200"/>
      <c r="K113" s="200"/>
      <c r="L113" s="210"/>
      <c r="M113" s="200"/>
      <c r="N113" s="180"/>
      <c r="O113" s="176"/>
      <c r="P113" s="180"/>
      <c r="Q113" s="200"/>
      <c r="R113" s="200"/>
      <c r="T113" s="205"/>
      <c r="U113" s="176"/>
      <c r="V113" s="169"/>
      <c r="W113" s="200"/>
      <c r="X113" s="176"/>
      <c r="Y113" s="200"/>
      <c r="Z113" s="200"/>
      <c r="AA113" s="200"/>
      <c r="AB113" s="164"/>
      <c r="AC113" s="200"/>
      <c r="AD113" s="200"/>
      <c r="AE113" s="200"/>
      <c r="AF113" s="205"/>
      <c r="AG113" s="200"/>
      <c r="AH113" s="201">
        <f t="shared" si="3"/>
        <v>0</v>
      </c>
      <c r="AI113" s="173"/>
    </row>
    <row r="114" spans="1:35">
      <c r="A114" s="162" t="s">
        <v>54</v>
      </c>
      <c r="B114" s="204"/>
      <c r="C114" s="205"/>
      <c r="D114" s="205"/>
      <c r="E114" s="180"/>
      <c r="F114" s="200"/>
      <c r="G114" s="200"/>
      <c r="H114" s="200"/>
      <c r="I114" s="200"/>
      <c r="J114" s="200"/>
      <c r="K114" s="200"/>
      <c r="L114" s="210"/>
      <c r="M114" s="200"/>
      <c r="N114" s="200"/>
      <c r="O114" s="205"/>
      <c r="P114" s="180"/>
      <c r="Q114" s="200"/>
      <c r="R114" s="200"/>
      <c r="S114" s="200"/>
      <c r="T114" s="205"/>
      <c r="U114" s="205"/>
      <c r="V114" s="169"/>
      <c r="W114" s="180"/>
      <c r="X114" s="169"/>
      <c r="Y114" s="200"/>
      <c r="Z114" s="180"/>
      <c r="AA114" s="200"/>
      <c r="AB114" s="200"/>
      <c r="AC114" s="204"/>
      <c r="AD114" s="200"/>
      <c r="AE114" s="200"/>
      <c r="AF114" s="205"/>
      <c r="AG114" s="204"/>
      <c r="AH114" s="201">
        <f t="shared" si="3"/>
        <v>0</v>
      </c>
      <c r="AI114" s="173"/>
    </row>
    <row r="115" spans="1:35">
      <c r="A115" s="162" t="s">
        <v>203</v>
      </c>
      <c r="B115" s="204"/>
      <c r="C115" s="205"/>
      <c r="D115" s="205"/>
      <c r="E115" s="180"/>
      <c r="F115" s="200"/>
      <c r="G115" s="200"/>
      <c r="H115" s="204"/>
      <c r="I115" s="205"/>
      <c r="J115" s="200"/>
      <c r="K115" s="200"/>
      <c r="L115" s="210"/>
      <c r="M115" s="200"/>
      <c r="N115" s="200"/>
      <c r="O115" s="205"/>
      <c r="P115" s="180"/>
      <c r="Q115" s="200"/>
      <c r="R115" s="200"/>
      <c r="S115" s="200"/>
      <c r="T115" s="205"/>
      <c r="U115" s="205"/>
      <c r="V115" s="176"/>
      <c r="W115" s="180"/>
      <c r="X115" s="169"/>
      <c r="Y115" s="200"/>
      <c r="Z115" s="180"/>
      <c r="AA115" s="200"/>
      <c r="AB115" s="200"/>
      <c r="AC115" s="204"/>
      <c r="AD115" s="200"/>
      <c r="AE115" s="205"/>
      <c r="AF115" s="205"/>
      <c r="AG115" s="204"/>
      <c r="AH115" s="201">
        <f t="shared" si="3"/>
        <v>0</v>
      </c>
      <c r="AI115" s="173"/>
    </row>
    <row r="116" spans="1:35">
      <c r="A116" s="162" t="s">
        <v>203</v>
      </c>
      <c r="B116" s="204"/>
      <c r="C116" s="205"/>
      <c r="D116" s="205"/>
      <c r="E116" s="180"/>
      <c r="F116" s="200"/>
      <c r="G116" s="200"/>
      <c r="H116" s="204"/>
      <c r="I116" s="205"/>
      <c r="J116" s="200"/>
      <c r="K116" s="200"/>
      <c r="L116" s="210"/>
      <c r="M116" s="200"/>
      <c r="N116" s="200"/>
      <c r="O116" s="205"/>
      <c r="P116" s="180"/>
      <c r="Q116" s="200"/>
      <c r="R116" s="200"/>
      <c r="S116" s="200"/>
      <c r="T116" s="205"/>
      <c r="U116" s="205"/>
      <c r="V116" s="176"/>
      <c r="W116" s="180"/>
      <c r="X116" s="169"/>
      <c r="Y116" s="200"/>
      <c r="Z116" s="180"/>
      <c r="AA116" s="200"/>
      <c r="AB116" s="200"/>
      <c r="AC116" s="204"/>
      <c r="AD116" s="200"/>
      <c r="AE116" s="205"/>
      <c r="AF116" s="205"/>
      <c r="AG116" s="204"/>
      <c r="AH116" s="201">
        <f t="shared" si="3"/>
        <v>0</v>
      </c>
      <c r="AI116" s="173"/>
    </row>
    <row r="117" spans="1:35">
      <c r="A117" s="162" t="s">
        <v>37</v>
      </c>
      <c r="B117" s="204"/>
      <c r="C117" s="200">
        <v>2665932041</v>
      </c>
      <c r="D117" s="200"/>
      <c r="E117" s="180"/>
      <c r="F117" s="164"/>
      <c r="G117" s="180"/>
      <c r="H117" s="200"/>
      <c r="I117" s="180">
        <v>238646673</v>
      </c>
      <c r="J117" s="200"/>
      <c r="K117" s="200"/>
      <c r="L117" s="210"/>
      <c r="M117" s="200">
        <v>2374389624</v>
      </c>
      <c r="N117" s="200"/>
      <c r="O117" s="205"/>
      <c r="P117" s="176"/>
      <c r="Q117" s="200">
        <v>243141693</v>
      </c>
      <c r="R117" s="200"/>
      <c r="S117" s="200"/>
      <c r="T117" s="205">
        <v>809443639</v>
      </c>
      <c r="U117" s="176"/>
      <c r="V117" s="176"/>
      <c r="W117" s="200"/>
      <c r="X117" s="176">
        <v>110355893</v>
      </c>
      <c r="Y117" s="180"/>
      <c r="Z117" s="200"/>
      <c r="AA117" s="200"/>
      <c r="AB117" s="172"/>
      <c r="AC117" s="200"/>
      <c r="AD117" s="200">
        <v>2399933142</v>
      </c>
      <c r="AE117" s="176">
        <v>897780451</v>
      </c>
      <c r="AF117" s="176"/>
      <c r="AG117" s="200"/>
      <c r="AH117" s="201">
        <f t="shared" si="3"/>
        <v>9739623156</v>
      </c>
      <c r="AI117" s="173"/>
    </row>
    <row r="118" spans="1:35">
      <c r="A118" s="162" t="s">
        <v>38</v>
      </c>
      <c r="B118" s="204"/>
      <c r="C118" s="176"/>
      <c r="D118" s="176"/>
      <c r="E118" s="180"/>
      <c r="F118" s="200"/>
      <c r="G118" s="200"/>
      <c r="H118" s="200"/>
      <c r="I118" s="205"/>
      <c r="J118" s="200"/>
      <c r="K118" s="180"/>
      <c r="L118" s="210"/>
      <c r="M118" s="200"/>
      <c r="N118" s="180"/>
      <c r="O118" s="180"/>
      <c r="P118" s="205"/>
      <c r="Q118" s="174"/>
      <c r="R118" s="176"/>
      <c r="S118" s="200"/>
      <c r="T118" s="176"/>
      <c r="U118" s="205"/>
      <c r="V118" s="176"/>
      <c r="W118" s="180"/>
      <c r="X118" s="169"/>
      <c r="Y118" s="180"/>
      <c r="Z118" s="174"/>
      <c r="AA118" s="200"/>
      <c r="AB118" s="172"/>
      <c r="AC118" s="200"/>
      <c r="AD118" s="200">
        <v>1856872051</v>
      </c>
      <c r="AE118" s="205"/>
      <c r="AF118" s="176"/>
      <c r="AG118" s="169"/>
      <c r="AH118" s="201">
        <f t="shared" si="3"/>
        <v>1856872051</v>
      </c>
      <c r="AI118" s="173"/>
    </row>
    <row r="119" spans="1:35">
      <c r="A119" s="162" t="s">
        <v>201</v>
      </c>
      <c r="B119" s="204"/>
      <c r="C119" s="176"/>
      <c r="D119" s="169"/>
      <c r="E119" s="180"/>
      <c r="F119" s="200">
        <v>81652323</v>
      </c>
      <c r="G119" s="200"/>
      <c r="H119" s="204"/>
      <c r="I119" s="205"/>
      <c r="J119" s="200"/>
      <c r="K119" s="180"/>
      <c r="L119" s="200"/>
      <c r="M119" s="200"/>
      <c r="N119" s="174"/>
      <c r="O119" s="180"/>
      <c r="P119" s="205"/>
      <c r="Q119" s="174"/>
      <c r="R119" s="176"/>
      <c r="S119" s="200"/>
      <c r="T119" s="176"/>
      <c r="U119" s="205"/>
      <c r="V119" s="176"/>
      <c r="W119" s="180"/>
      <c r="X119" s="176"/>
      <c r="Y119" s="180"/>
      <c r="Z119" s="174"/>
      <c r="AA119" s="200"/>
      <c r="AB119" s="172"/>
      <c r="AC119" s="200"/>
      <c r="AD119" s="200"/>
      <c r="AE119" s="205"/>
      <c r="AF119" s="176"/>
      <c r="AG119" s="169"/>
      <c r="AH119" s="201">
        <f t="shared" si="3"/>
        <v>81652323</v>
      </c>
      <c r="AI119" s="173"/>
    </row>
    <row r="120" spans="1:35">
      <c r="A120" s="162" t="s">
        <v>175</v>
      </c>
      <c r="B120" s="204"/>
      <c r="C120" s="193"/>
      <c r="D120" s="200"/>
      <c r="E120" s="180"/>
      <c r="F120" s="200"/>
      <c r="G120" s="200">
        <v>2250493750</v>
      </c>
      <c r="H120" s="200"/>
      <c r="I120" s="205">
        <v>1011792805</v>
      </c>
      <c r="J120" s="180"/>
      <c r="K120" s="200"/>
      <c r="L120" s="169"/>
      <c r="M120" s="200">
        <v>2132291637</v>
      </c>
      <c r="N120" s="180"/>
      <c r="O120" s="180"/>
      <c r="Q120" s="205">
        <v>1851796009</v>
      </c>
      <c r="R120" s="176"/>
      <c r="S120" s="200"/>
      <c r="T120" s="176">
        <v>1985674156</v>
      </c>
      <c r="U120" s="205"/>
      <c r="V120" s="176"/>
      <c r="W120" s="180"/>
      <c r="X120" s="176">
        <v>373053688</v>
      </c>
      <c r="Y120" s="180"/>
      <c r="Z120" s="174"/>
      <c r="AA120" s="200"/>
      <c r="AB120" s="172"/>
      <c r="AC120" s="200"/>
      <c r="AD120" s="200"/>
      <c r="AE120" s="176"/>
      <c r="AF120" s="176"/>
      <c r="AG120" s="169"/>
      <c r="AH120" s="201">
        <f t="shared" si="3"/>
        <v>9605102045</v>
      </c>
      <c r="AI120" s="173"/>
    </row>
    <row r="121" spans="1:35">
      <c r="A121" s="162" t="s">
        <v>176</v>
      </c>
      <c r="B121" s="204"/>
      <c r="C121" s="205"/>
      <c r="D121" s="200"/>
      <c r="E121" s="180"/>
      <c r="F121" s="200"/>
      <c r="G121" s="200"/>
      <c r="H121" s="200"/>
      <c r="I121" s="205"/>
      <c r="J121" s="180"/>
      <c r="K121" s="180"/>
      <c r="L121" s="200"/>
      <c r="M121" s="200"/>
      <c r="N121" s="200"/>
      <c r="O121" s="180"/>
      <c r="P121" s="205"/>
      <c r="Q121" s="200"/>
      <c r="R121" s="207"/>
      <c r="S121" s="200"/>
      <c r="T121" s="180"/>
      <c r="U121" s="176"/>
      <c r="V121" s="200"/>
      <c r="W121" s="200"/>
      <c r="X121" s="176"/>
      <c r="Y121" s="180"/>
      <c r="Z121" s="200"/>
      <c r="AA121" s="200"/>
      <c r="AB121" s="172"/>
      <c r="AC121" s="200"/>
      <c r="AD121" s="200"/>
      <c r="AE121" s="205"/>
      <c r="AF121" s="176"/>
      <c r="AG121" s="200"/>
      <c r="AH121" s="201">
        <f t="shared" si="3"/>
        <v>0</v>
      </c>
      <c r="AI121" s="173"/>
    </row>
    <row r="122" spans="1:35">
      <c r="A122" s="162" t="s">
        <v>202</v>
      </c>
      <c r="B122" s="204"/>
      <c r="C122" s="205"/>
      <c r="D122" s="200"/>
      <c r="E122" s="180"/>
      <c r="F122" s="200">
        <v>42167666</v>
      </c>
      <c r="G122" s="200"/>
      <c r="H122" s="200"/>
      <c r="I122" s="205"/>
      <c r="J122" s="180"/>
      <c r="K122" s="180"/>
      <c r="L122" s="200"/>
      <c r="M122" s="200"/>
      <c r="N122" s="200"/>
      <c r="O122" s="180"/>
      <c r="P122" s="205"/>
      <c r="Q122" s="200"/>
      <c r="R122" s="207"/>
      <c r="S122" s="200"/>
      <c r="T122" s="180"/>
      <c r="U122" s="176"/>
      <c r="V122" s="200"/>
      <c r="W122" s="200"/>
      <c r="X122" s="176"/>
      <c r="Y122" s="180"/>
      <c r="Z122" s="200"/>
      <c r="AA122" s="200"/>
      <c r="AB122" s="172"/>
      <c r="AC122" s="200"/>
      <c r="AD122" s="200"/>
      <c r="AE122" s="207"/>
      <c r="AF122" s="176"/>
      <c r="AG122" s="200"/>
      <c r="AH122" s="201">
        <f t="shared" si="3"/>
        <v>42167666</v>
      </c>
      <c r="AI122" s="173"/>
    </row>
    <row r="123" spans="1:35">
      <c r="A123" s="211" t="s">
        <v>41</v>
      </c>
      <c r="B123" s="212"/>
      <c r="C123" s="213">
        <f t="shared" ref="C123:AG123" si="4">SUM(C104:C122)</f>
        <v>2665932041</v>
      </c>
      <c r="D123" s="213">
        <f t="shared" si="4"/>
        <v>0</v>
      </c>
      <c r="E123" s="213">
        <f t="shared" si="4"/>
        <v>0</v>
      </c>
      <c r="F123" s="213">
        <f t="shared" si="4"/>
        <v>123819989</v>
      </c>
      <c r="G123" s="213">
        <f>SUM(G104:G122)</f>
        <v>9435681942</v>
      </c>
      <c r="H123" s="213">
        <f t="shared" si="4"/>
        <v>0</v>
      </c>
      <c r="I123" s="213">
        <f>SUM(I103:I122)</f>
        <v>4376908922</v>
      </c>
      <c r="J123" s="213">
        <f t="shared" si="4"/>
        <v>4378727425</v>
      </c>
      <c r="K123" s="213">
        <f t="shared" si="4"/>
        <v>0</v>
      </c>
      <c r="L123" s="213">
        <f t="shared" si="4"/>
        <v>0</v>
      </c>
      <c r="M123" s="213">
        <f t="shared" si="4"/>
        <v>4506681261</v>
      </c>
      <c r="N123" s="213">
        <f t="shared" si="4"/>
        <v>2246215616</v>
      </c>
      <c r="O123" s="213">
        <f t="shared" si="4"/>
        <v>0</v>
      </c>
      <c r="P123" s="213">
        <f t="shared" si="4"/>
        <v>0</v>
      </c>
      <c r="Q123" s="213">
        <f t="shared" si="4"/>
        <v>4469660054</v>
      </c>
      <c r="R123" s="213">
        <f t="shared" si="4"/>
        <v>0</v>
      </c>
      <c r="S123" s="213">
        <f t="shared" si="4"/>
        <v>0</v>
      </c>
      <c r="T123" s="213">
        <f t="shared" si="4"/>
        <v>2795117795</v>
      </c>
      <c r="U123" s="213">
        <f t="shared" si="4"/>
        <v>4333477059</v>
      </c>
      <c r="V123" s="213">
        <f t="shared" si="4"/>
        <v>0</v>
      </c>
      <c r="W123" s="213">
        <f t="shared" si="4"/>
        <v>0</v>
      </c>
      <c r="X123" s="213">
        <f t="shared" si="4"/>
        <v>6090863747</v>
      </c>
      <c r="Y123" s="213">
        <f t="shared" si="4"/>
        <v>0</v>
      </c>
      <c r="Z123" s="213">
        <f t="shared" si="4"/>
        <v>0</v>
      </c>
      <c r="AA123" s="213">
        <f t="shared" si="4"/>
        <v>5616373500</v>
      </c>
      <c r="AB123" s="213">
        <f t="shared" si="4"/>
        <v>3353849546</v>
      </c>
      <c r="AC123" s="213">
        <f t="shared" si="4"/>
        <v>0</v>
      </c>
      <c r="AD123" s="213">
        <f>SUM(AD104:AD122)</f>
        <v>12022087036</v>
      </c>
      <c r="AE123" s="213">
        <f t="shared" si="4"/>
        <v>8259296689</v>
      </c>
      <c r="AF123" s="213">
        <f t="shared" si="4"/>
        <v>0</v>
      </c>
      <c r="AG123" s="213">
        <f t="shared" si="4"/>
        <v>0</v>
      </c>
      <c r="AH123" s="214">
        <f>SUM(AH104:AH122)</f>
        <v>74674692622</v>
      </c>
      <c r="AI123" s="154"/>
    </row>
    <row r="124" spans="1:35">
      <c r="A124" s="393" t="s">
        <v>42</v>
      </c>
      <c r="B124" s="394"/>
      <c r="C124" s="215">
        <f t="shared" ref="C124:AG124" si="5">C101+C123</f>
        <v>3220087508</v>
      </c>
      <c r="D124" s="215">
        <f t="shared" si="5"/>
        <v>0</v>
      </c>
      <c r="E124" s="216">
        <f t="shared" si="5"/>
        <v>0</v>
      </c>
      <c r="F124" s="216">
        <f t="shared" si="5"/>
        <v>1093969165</v>
      </c>
      <c r="G124" s="216">
        <f t="shared" si="5"/>
        <v>12427236415</v>
      </c>
      <c r="H124" s="216">
        <f t="shared" si="5"/>
        <v>844677983</v>
      </c>
      <c r="I124" s="216">
        <f t="shared" si="5"/>
        <v>7478228959</v>
      </c>
      <c r="J124" s="215">
        <f t="shared" si="5"/>
        <v>4971035020</v>
      </c>
      <c r="K124" s="215">
        <f t="shared" si="5"/>
        <v>0</v>
      </c>
      <c r="L124" s="216">
        <f t="shared" si="5"/>
        <v>0</v>
      </c>
      <c r="M124" s="216">
        <f t="shared" si="5"/>
        <v>5759993843</v>
      </c>
      <c r="N124" s="216">
        <f t="shared" si="5"/>
        <v>2761268683</v>
      </c>
      <c r="O124" s="216">
        <f t="shared" si="5"/>
        <v>569202851</v>
      </c>
      <c r="P124" s="216">
        <f t="shared" si="5"/>
        <v>2952455698</v>
      </c>
      <c r="Q124" s="216">
        <f t="shared" si="5"/>
        <v>5672390225</v>
      </c>
      <c r="R124" s="216">
        <f t="shared" si="5"/>
        <v>0</v>
      </c>
      <c r="S124" s="216">
        <f t="shared" si="5"/>
        <v>0</v>
      </c>
      <c r="T124" s="216">
        <f t="shared" si="5"/>
        <v>5490949258</v>
      </c>
      <c r="U124" s="216">
        <f t="shared" si="5"/>
        <v>4683379934</v>
      </c>
      <c r="V124" s="216">
        <f t="shared" si="5"/>
        <v>0</v>
      </c>
      <c r="W124" s="216">
        <f t="shared" si="5"/>
        <v>0</v>
      </c>
      <c r="X124" s="216">
        <f t="shared" si="5"/>
        <v>6365838947</v>
      </c>
      <c r="Y124" s="216">
        <f t="shared" si="5"/>
        <v>0</v>
      </c>
      <c r="Z124" s="216">
        <f t="shared" si="5"/>
        <v>0</v>
      </c>
      <c r="AA124" s="216">
        <f t="shared" si="5"/>
        <v>8885614543</v>
      </c>
      <c r="AB124" s="216">
        <f t="shared" si="5"/>
        <v>5126119565</v>
      </c>
      <c r="AC124" s="216">
        <f t="shared" si="5"/>
        <v>192270000</v>
      </c>
      <c r="AD124" s="216">
        <f t="shared" si="5"/>
        <v>12869583298</v>
      </c>
      <c r="AE124" s="216">
        <f t="shared" si="5"/>
        <v>8386759830</v>
      </c>
      <c r="AF124" s="216">
        <f t="shared" si="5"/>
        <v>11936089114</v>
      </c>
      <c r="AG124" s="216">
        <f t="shared" si="5"/>
        <v>0</v>
      </c>
      <c r="AH124" s="216">
        <f>SUM(C124:AG124)</f>
        <v>111687150839</v>
      </c>
    </row>
    <row r="126" spans="1:35">
      <c r="A126" s="150" t="s">
        <v>50</v>
      </c>
      <c r="C126" s="154">
        <v>17792584941</v>
      </c>
      <c r="D126" s="193"/>
      <c r="E126" s="154"/>
      <c r="F126" s="154">
        <v>19715442077</v>
      </c>
      <c r="G126" s="154">
        <v>24084295937</v>
      </c>
      <c r="H126" s="154">
        <v>18709106472</v>
      </c>
      <c r="I126" s="154">
        <v>21049430918</v>
      </c>
      <c r="J126" s="154">
        <v>16526793748</v>
      </c>
      <c r="K126" s="193"/>
      <c r="L126" s="154"/>
      <c r="M126" s="154">
        <v>17300493313</v>
      </c>
      <c r="N126" s="154">
        <v>14890722567</v>
      </c>
      <c r="O126" s="154">
        <v>15112166569</v>
      </c>
      <c r="P126" s="154">
        <v>16087045992</v>
      </c>
      <c r="Q126" s="154">
        <v>16009131586</v>
      </c>
      <c r="R126" s="154"/>
      <c r="S126" s="154"/>
      <c r="T126" s="154">
        <v>16059702589</v>
      </c>
      <c r="U126" s="154">
        <v>13915149114</v>
      </c>
      <c r="V126" s="154">
        <v>12899621894</v>
      </c>
      <c r="W126" s="154"/>
      <c r="X126" s="154">
        <v>23627797914</v>
      </c>
      <c r="Y126" s="154"/>
      <c r="Z126" s="154"/>
      <c r="AA126" s="154">
        <v>23530885703</v>
      </c>
      <c r="AB126" s="217">
        <v>17562371792</v>
      </c>
      <c r="AC126" s="154">
        <v>15884452167</v>
      </c>
      <c r="AD126" s="154">
        <v>18591661442</v>
      </c>
      <c r="AE126" s="154">
        <v>9399258543</v>
      </c>
      <c r="AF126" s="154"/>
      <c r="AG126" s="154"/>
    </row>
    <row r="127" spans="1:35">
      <c r="A127" s="150" t="s">
        <v>139</v>
      </c>
      <c r="C127" s="200">
        <f>C126-C124</f>
        <v>14572497433</v>
      </c>
      <c r="D127" s="218"/>
      <c r="E127" s="219"/>
      <c r="F127" s="154">
        <f>F126-F124</f>
        <v>18621472912</v>
      </c>
      <c r="G127" s="219">
        <f>G126-G124</f>
        <v>11657059522</v>
      </c>
      <c r="H127" s="154">
        <f>H126-H124</f>
        <v>17864428489</v>
      </c>
      <c r="I127" s="219">
        <f>I126-I124</f>
        <v>13571201959</v>
      </c>
      <c r="J127" s="193">
        <f>J126-J124</f>
        <v>11555758728</v>
      </c>
      <c r="K127" s="220"/>
      <c r="L127" s="219"/>
      <c r="M127" s="154">
        <f>M126-M124</f>
        <v>11540499470</v>
      </c>
      <c r="N127" s="217">
        <f>N126-N124</f>
        <v>12129453884</v>
      </c>
      <c r="O127" s="217">
        <f>O126-O124</f>
        <v>14542963718</v>
      </c>
      <c r="P127" s="217">
        <f>P126-P124</f>
        <v>13134590294</v>
      </c>
      <c r="Q127" s="217">
        <f>Q126-Q124</f>
        <v>10336741361</v>
      </c>
      <c r="R127" s="219"/>
      <c r="S127" s="154"/>
      <c r="T127" s="154">
        <f>T126-T124</f>
        <v>10568753331</v>
      </c>
      <c r="U127" s="217">
        <f>U126-U124</f>
        <v>9231769180</v>
      </c>
      <c r="V127" s="154"/>
      <c r="W127" s="219"/>
      <c r="X127" s="154">
        <f>X126-X124</f>
        <v>17261958967</v>
      </c>
      <c r="Y127" s="219"/>
      <c r="Z127" s="154"/>
      <c r="AA127" s="154">
        <f>AA126-AA124</f>
        <v>14645271160</v>
      </c>
      <c r="AB127" s="217">
        <f>AB126-AB124</f>
        <v>12436252227</v>
      </c>
      <c r="AC127" s="219">
        <f>AC126-AC124</f>
        <v>15692182167</v>
      </c>
      <c r="AD127" s="219">
        <f>AD126-AD124</f>
        <v>5722078144</v>
      </c>
      <c r="AE127" s="221">
        <f>AE126-AE124</f>
        <v>1012498713</v>
      </c>
      <c r="AF127" s="200"/>
      <c r="AG127" s="200"/>
    </row>
    <row r="128" spans="1:35">
      <c r="A128" s="150" t="s">
        <v>181</v>
      </c>
      <c r="C128" s="154">
        <v>2514546550</v>
      </c>
      <c r="D128" s="218"/>
      <c r="E128" s="154"/>
      <c r="F128" s="154">
        <v>1743080652</v>
      </c>
      <c r="G128" s="154">
        <v>1747185138</v>
      </c>
      <c r="H128" s="154">
        <v>2153776777</v>
      </c>
      <c r="I128" s="154">
        <v>2346278047</v>
      </c>
      <c r="J128" s="193">
        <v>2291164398</v>
      </c>
      <c r="K128" s="193"/>
      <c r="L128" s="154"/>
      <c r="M128" s="154">
        <v>1951005368</v>
      </c>
      <c r="N128" s="154">
        <v>2375934440</v>
      </c>
      <c r="O128" s="154">
        <v>2428727222</v>
      </c>
      <c r="P128" s="154">
        <v>2174938094</v>
      </c>
      <c r="Q128" s="154">
        <v>2477842695</v>
      </c>
      <c r="R128" s="219"/>
      <c r="S128" s="154"/>
      <c r="T128" s="154">
        <v>2115983271</v>
      </c>
      <c r="U128" s="154">
        <v>2218119741</v>
      </c>
      <c r="V128" s="154"/>
      <c r="W128" s="154"/>
      <c r="X128" s="154">
        <v>2709977785</v>
      </c>
      <c r="Y128" s="217"/>
      <c r="Z128" s="154"/>
      <c r="AA128" s="154">
        <v>1781412288</v>
      </c>
      <c r="AB128" s="154">
        <v>2656906323</v>
      </c>
      <c r="AC128" s="154">
        <v>2356575050</v>
      </c>
      <c r="AD128" s="217">
        <v>2799891878</v>
      </c>
      <c r="AE128" s="154">
        <v>2881409600</v>
      </c>
      <c r="AF128" s="154"/>
      <c r="AG128" s="154"/>
      <c r="AH128" s="219"/>
    </row>
    <row r="129" spans="1:35">
      <c r="A129" s="150" t="s">
        <v>139</v>
      </c>
      <c r="C129" s="154">
        <f>C127+C128</f>
        <v>17087043983</v>
      </c>
      <c r="D129" s="218"/>
      <c r="E129" s="154"/>
      <c r="F129" s="154">
        <f>F127+F128</f>
        <v>20364553564</v>
      </c>
      <c r="G129" s="154">
        <f>G127+G128</f>
        <v>13404244660</v>
      </c>
      <c r="H129" s="154">
        <f>H127+H128</f>
        <v>20018205266</v>
      </c>
      <c r="I129" s="154">
        <f>I127+I128</f>
        <v>15917480006</v>
      </c>
      <c r="J129" s="193">
        <f>J127+J128</f>
        <v>13846923126</v>
      </c>
      <c r="K129" s="193"/>
      <c r="L129" s="154"/>
      <c r="M129" s="154">
        <f>M127+M128</f>
        <v>13491504838</v>
      </c>
      <c r="N129" s="154">
        <f>N127+N128</f>
        <v>14505388324</v>
      </c>
      <c r="O129" s="154">
        <f>O127+O128</f>
        <v>16971690940</v>
      </c>
      <c r="P129" s="154">
        <f>P127+P128</f>
        <v>15309528388</v>
      </c>
      <c r="Q129" s="154">
        <f>Q127+Q128</f>
        <v>12814584056</v>
      </c>
      <c r="R129" s="219"/>
      <c r="S129" s="219"/>
      <c r="T129" s="219">
        <f>T127+T128</f>
        <v>12684736602</v>
      </c>
      <c r="U129" s="154">
        <f>U127+U128</f>
        <v>11449888921</v>
      </c>
      <c r="V129" s="154"/>
      <c r="W129" s="154"/>
      <c r="X129" s="154">
        <f>X127+X128</f>
        <v>19971936752</v>
      </c>
      <c r="Y129" s="217"/>
      <c r="Z129" s="219"/>
      <c r="AA129" s="219">
        <f>AA127+AA128</f>
        <v>16426683448</v>
      </c>
      <c r="AB129" s="154">
        <f>AB127+AB128</f>
        <v>15093158550</v>
      </c>
      <c r="AC129" s="154">
        <f>AC127+AC128</f>
        <v>18048757217</v>
      </c>
      <c r="AD129" s="219">
        <f>AD127+AD128</f>
        <v>8521970022</v>
      </c>
      <c r="AE129" s="154">
        <f>AE127+AE128</f>
        <v>3893908313</v>
      </c>
      <c r="AF129" s="217"/>
      <c r="AG129" s="154"/>
      <c r="AH129" s="219"/>
    </row>
    <row r="130" spans="1:35">
      <c r="E130" s="154"/>
      <c r="F130" s="154"/>
      <c r="H130" s="217"/>
      <c r="I130" s="154"/>
      <c r="J130" s="193"/>
      <c r="K130" s="220"/>
      <c r="L130" s="154"/>
      <c r="M130" s="154"/>
      <c r="N130" s="154"/>
      <c r="P130" s="154"/>
      <c r="U130" s="154"/>
      <c r="V130" s="154"/>
      <c r="X130" s="154"/>
      <c r="Z130" s="219"/>
      <c r="AB130" s="154"/>
      <c r="AG130" s="154"/>
      <c r="AI130" s="219"/>
    </row>
    <row r="131" spans="1:35">
      <c r="F131" s="154"/>
      <c r="I131" s="219"/>
      <c r="K131" s="218">
        <f>J129-K124</f>
        <v>13846923126</v>
      </c>
      <c r="L131" s="154"/>
      <c r="V131" s="154"/>
      <c r="X131" s="219"/>
    </row>
    <row r="132" spans="1:35">
      <c r="L132" s="154"/>
      <c r="Y132" s="154"/>
      <c r="AD132" s="169" t="s">
        <v>120</v>
      </c>
      <c r="AE132" s="176">
        <v>35472809</v>
      </c>
      <c r="AF132" s="169" t="s">
        <v>128</v>
      </c>
      <c r="AG132" s="222">
        <f>12601000+58786100+70661200</f>
        <v>142048300</v>
      </c>
      <c r="AH132" s="169" t="s">
        <v>131</v>
      </c>
      <c r="AI132" s="176">
        <v>24220575</v>
      </c>
    </row>
    <row r="133" spans="1:35">
      <c r="C133" s="150"/>
      <c r="D133" s="150"/>
      <c r="H133" s="219"/>
      <c r="AD133" s="169" t="s">
        <v>121</v>
      </c>
      <c r="AE133" s="176">
        <v>14204180</v>
      </c>
      <c r="AF133" s="169" t="s">
        <v>129</v>
      </c>
      <c r="AG133" s="222">
        <v>1130000</v>
      </c>
      <c r="AH133" s="169" t="s">
        <v>132</v>
      </c>
      <c r="AI133" s="176">
        <v>29013000</v>
      </c>
    </row>
    <row r="134" spans="1:35">
      <c r="O134" s="150" t="s">
        <v>375</v>
      </c>
      <c r="S134" s="185">
        <v>44256</v>
      </c>
      <c r="U134" s="185"/>
      <c r="AD134" s="169" t="s">
        <v>122</v>
      </c>
      <c r="AE134" s="176">
        <v>38068270</v>
      </c>
      <c r="AF134" s="169" t="s">
        <v>130</v>
      </c>
      <c r="AG134" s="222">
        <v>124601500</v>
      </c>
      <c r="AH134" s="169" t="s">
        <v>127</v>
      </c>
      <c r="AI134" s="176">
        <v>43960805</v>
      </c>
    </row>
    <row r="135" spans="1:35">
      <c r="C135" s="150"/>
      <c r="D135" s="150"/>
      <c r="M135" s="223"/>
      <c r="N135" s="223"/>
      <c r="O135" s="223" t="s">
        <v>376</v>
      </c>
      <c r="P135" s="223"/>
      <c r="Q135" s="223"/>
      <c r="R135" s="223"/>
      <c r="S135" s="223"/>
      <c r="T135" s="223"/>
      <c r="U135" s="223"/>
      <c r="V135" s="223"/>
      <c r="AD135" s="169" t="s">
        <v>123</v>
      </c>
      <c r="AE135" s="176">
        <v>37755482</v>
      </c>
      <c r="AF135" s="192" t="s">
        <v>6</v>
      </c>
      <c r="AG135" s="224">
        <f>SUM(AG132:AG134)</f>
        <v>267779800</v>
      </c>
      <c r="AH135" s="169" t="s">
        <v>133</v>
      </c>
      <c r="AI135" s="176">
        <v>16297393</v>
      </c>
    </row>
    <row r="136" spans="1:35">
      <c r="C136" s="150"/>
      <c r="D136" s="150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395" t="s">
        <v>240</v>
      </c>
      <c r="X136" s="395"/>
      <c r="Y136" s="395"/>
      <c r="Z136" s="395"/>
      <c r="AD136" s="169" t="s">
        <v>124</v>
      </c>
      <c r="AE136" s="176">
        <v>120074200</v>
      </c>
      <c r="AG136" s="154"/>
      <c r="AH136" s="169" t="s">
        <v>134</v>
      </c>
      <c r="AI136" s="176">
        <v>71402128</v>
      </c>
    </row>
    <row r="137" spans="1:35">
      <c r="C137" s="150"/>
      <c r="D137" s="150"/>
      <c r="F137" s="150" t="s">
        <v>111</v>
      </c>
      <c r="H137" s="150" t="s">
        <v>265</v>
      </c>
      <c r="J137" s="193">
        <v>623913283</v>
      </c>
      <c r="M137" s="223"/>
      <c r="N137" s="223"/>
      <c r="O137" s="223"/>
      <c r="P137" s="223"/>
      <c r="Q137" s="223" t="s">
        <v>108</v>
      </c>
      <c r="R137" s="223"/>
      <c r="S137" s="223"/>
      <c r="T137" s="223"/>
      <c r="U137" s="223"/>
      <c r="V137" s="223"/>
      <c r="AC137" s="150" t="s">
        <v>111</v>
      </c>
      <c r="AD137" s="169" t="s">
        <v>125</v>
      </c>
      <c r="AE137" s="176">
        <v>39264697</v>
      </c>
      <c r="AG137" s="154"/>
      <c r="AH137" s="169" t="s">
        <v>135</v>
      </c>
      <c r="AI137" s="176">
        <v>70219456</v>
      </c>
    </row>
    <row r="138" spans="1:35">
      <c r="C138" s="150"/>
      <c r="D138" s="150"/>
      <c r="J138" s="193">
        <v>-9536328</v>
      </c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5" t="s">
        <v>229</v>
      </c>
      <c r="X138" s="225" t="s">
        <v>230</v>
      </c>
      <c r="Y138" s="225" t="s">
        <v>231</v>
      </c>
      <c r="Z138" s="225" t="s">
        <v>233</v>
      </c>
      <c r="AD138" s="169" t="s">
        <v>126</v>
      </c>
      <c r="AE138" s="176">
        <v>3066461</v>
      </c>
      <c r="AG138" s="154"/>
      <c r="AH138" s="169" t="s">
        <v>120</v>
      </c>
      <c r="AI138" s="176">
        <v>6461250</v>
      </c>
    </row>
    <row r="139" spans="1:35">
      <c r="C139" s="150"/>
      <c r="D139" s="150"/>
      <c r="F139" s="150" t="s">
        <v>111</v>
      </c>
      <c r="J139" s="193">
        <v>-35329927</v>
      </c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6">
        <v>44398</v>
      </c>
      <c r="X139" s="169" t="s">
        <v>232</v>
      </c>
      <c r="Y139" s="176">
        <v>1250000</v>
      </c>
      <c r="Z139" s="169" t="s">
        <v>234</v>
      </c>
      <c r="AD139" s="169" t="s">
        <v>127</v>
      </c>
      <c r="AE139" s="176">
        <v>1150000</v>
      </c>
      <c r="AG139" s="154"/>
      <c r="AH139" s="169" t="s">
        <v>121</v>
      </c>
      <c r="AI139" s="176">
        <v>2735500</v>
      </c>
    </row>
    <row r="140" spans="1:35">
      <c r="C140" s="150"/>
      <c r="D140" s="150"/>
      <c r="J140" s="193">
        <v>-94644000</v>
      </c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6">
        <v>44398</v>
      </c>
      <c r="X140" s="169" t="s">
        <v>235</v>
      </c>
      <c r="Y140" s="176">
        <v>5758500</v>
      </c>
      <c r="Z140" s="169" t="s">
        <v>238</v>
      </c>
      <c r="AD140" s="192" t="s">
        <v>6</v>
      </c>
      <c r="AE140" s="227">
        <f>SUM(AE132:AE139)</f>
        <v>289056099</v>
      </c>
      <c r="AH140" s="169" t="s">
        <v>136</v>
      </c>
      <c r="AI140" s="176">
        <v>26692000</v>
      </c>
    </row>
    <row r="141" spans="1:35">
      <c r="C141" s="150"/>
      <c r="D141" s="150"/>
      <c r="J141" s="193">
        <v>-5550198</v>
      </c>
      <c r="M141" s="223" t="s">
        <v>97</v>
      </c>
      <c r="N141" s="223"/>
      <c r="O141" s="223"/>
      <c r="P141" s="223"/>
      <c r="Q141" s="223"/>
      <c r="R141" s="223"/>
      <c r="S141" s="223"/>
      <c r="T141" s="223"/>
      <c r="U141" s="223"/>
      <c r="V141" s="223"/>
      <c r="W141" s="226">
        <v>44398</v>
      </c>
      <c r="X141" s="169" t="s">
        <v>235</v>
      </c>
      <c r="Y141" s="176">
        <v>33905000</v>
      </c>
      <c r="Z141" s="169" t="s">
        <v>239</v>
      </c>
      <c r="AH141" s="169" t="s">
        <v>123</v>
      </c>
      <c r="AI141" s="176">
        <v>27332750</v>
      </c>
    </row>
    <row r="142" spans="1:35">
      <c r="C142" s="150"/>
      <c r="D142" s="150"/>
      <c r="J142" s="193">
        <v>-61641742</v>
      </c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6">
        <v>44398</v>
      </c>
      <c r="X142" s="169" t="s">
        <v>236</v>
      </c>
      <c r="Y142" s="176">
        <f>1050000+2100000</f>
        <v>3150000</v>
      </c>
      <c r="Z142" s="169" t="s">
        <v>237</v>
      </c>
      <c r="AH142" s="169" t="s">
        <v>124</v>
      </c>
      <c r="AI142" s="176">
        <v>46899155</v>
      </c>
    </row>
    <row r="143" spans="1:35">
      <c r="C143" s="150"/>
      <c r="D143" s="150"/>
      <c r="J143" s="193">
        <v>-3124130</v>
      </c>
      <c r="O143" s="228"/>
      <c r="P143" s="228"/>
      <c r="Q143" s="228"/>
      <c r="R143" s="228"/>
      <c r="S143" s="228"/>
      <c r="T143" s="228"/>
      <c r="U143" s="228"/>
      <c r="V143" s="229"/>
      <c r="W143" s="228"/>
      <c r="Y143" s="154"/>
      <c r="AH143" s="169" t="s">
        <v>125</v>
      </c>
      <c r="AI143" s="176">
        <v>43312000</v>
      </c>
    </row>
    <row r="144" spans="1:35">
      <c r="C144" s="150"/>
      <c r="D144" s="150"/>
      <c r="J144" s="193">
        <f>SUM(J137:J143)</f>
        <v>414086958</v>
      </c>
      <c r="O144" s="228"/>
      <c r="P144" s="228"/>
      <c r="Q144" s="228"/>
      <c r="R144" s="228"/>
      <c r="S144" s="228"/>
      <c r="T144" s="228"/>
      <c r="U144" s="228"/>
      <c r="V144" s="229"/>
      <c r="W144" s="228"/>
      <c r="X144" s="150" t="s">
        <v>241</v>
      </c>
      <c r="Y144" s="219">
        <f>SUM(Y139:Y143)</f>
        <v>44063500</v>
      </c>
      <c r="AH144" s="169" t="s">
        <v>138</v>
      </c>
      <c r="AI144" s="176">
        <v>2134000</v>
      </c>
    </row>
    <row r="145" spans="3:35">
      <c r="C145" s="150"/>
      <c r="D145" s="150"/>
      <c r="O145" s="228"/>
      <c r="P145" s="228"/>
      <c r="Q145" s="228"/>
      <c r="R145" s="228"/>
      <c r="S145" s="228"/>
      <c r="T145" s="228"/>
      <c r="U145" s="228"/>
      <c r="V145" s="228"/>
      <c r="W145" s="228"/>
      <c r="AH145" s="169" t="s">
        <v>137</v>
      </c>
      <c r="AI145" s="176">
        <v>353453</v>
      </c>
    </row>
    <row r="146" spans="3:35">
      <c r="AH146" s="192" t="s">
        <v>6</v>
      </c>
      <c r="AI146" s="227">
        <f>SUM(AI132:AI145)</f>
        <v>411033465</v>
      </c>
    </row>
    <row r="147" spans="3:35">
      <c r="AB147" s="150" t="s">
        <v>108</v>
      </c>
      <c r="AI147" s="154"/>
    </row>
    <row r="148" spans="3:35">
      <c r="AI148" s="154"/>
    </row>
    <row r="149" spans="3:35">
      <c r="AI149" s="154"/>
    </row>
    <row r="150" spans="3:35">
      <c r="AB150" s="150" t="s">
        <v>388</v>
      </c>
      <c r="AI150" s="154"/>
    </row>
    <row r="151" spans="3:35">
      <c r="C151" s="150"/>
      <c r="D151" s="150"/>
      <c r="J151" s="150"/>
      <c r="K151" s="150"/>
      <c r="AI151" s="154"/>
    </row>
    <row r="152" spans="3:35">
      <c r="C152" s="150"/>
      <c r="D152" s="150"/>
      <c r="J152" s="150"/>
      <c r="K152" s="150"/>
      <c r="AI152" s="154"/>
    </row>
    <row r="155" spans="3:35">
      <c r="AC155" s="150" t="s">
        <v>108</v>
      </c>
    </row>
  </sheetData>
  <sortState ref="A6:C69">
    <sortCondition ref="A6:A69"/>
  </sortState>
  <mergeCells count="3">
    <mergeCell ref="C4:AG4"/>
    <mergeCell ref="A124:B124"/>
    <mergeCell ref="W136:Z136"/>
  </mergeCells>
  <pageMargins left="0.7" right="0.7" top="0.75" bottom="0.75" header="0.3" footer="0.3"/>
  <pageSetup paperSize="9" scale="3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196"/>
  <sheetViews>
    <sheetView topLeftCell="A37" zoomScale="76" zoomScaleNormal="76" workbookViewId="0">
      <selection activeCell="W151" sqref="W151"/>
    </sheetView>
  </sheetViews>
  <sheetFormatPr defaultRowHeight="15.75"/>
  <cols>
    <col min="1" max="1" width="46.5703125" style="150" customWidth="1"/>
    <col min="2" max="2" width="11.85546875" style="150" customWidth="1"/>
    <col min="3" max="3" width="19.85546875" style="182" customWidth="1"/>
    <col min="4" max="4" width="18.7109375" style="182" customWidth="1"/>
    <col min="5" max="5" width="21.28515625" style="150" customWidth="1"/>
    <col min="6" max="6" width="20.85546875" style="150" customWidth="1"/>
    <col min="7" max="7" width="18.42578125" style="150" customWidth="1"/>
    <col min="8" max="8" width="22.140625" style="150" customWidth="1"/>
    <col min="9" max="9" width="21.42578125" style="150" customWidth="1"/>
    <col min="10" max="10" width="22.140625" style="182" customWidth="1"/>
    <col min="11" max="11" width="21" style="182" customWidth="1"/>
    <col min="12" max="12" width="19.85546875" style="150" customWidth="1"/>
    <col min="13" max="13" width="19" style="150" customWidth="1"/>
    <col min="14" max="14" width="19.42578125" style="150" customWidth="1"/>
    <col min="15" max="15" width="18.28515625" style="150" customWidth="1"/>
    <col min="16" max="16" width="19.85546875" style="150" customWidth="1"/>
    <col min="17" max="17" width="18.85546875" style="150" customWidth="1"/>
    <col min="18" max="18" width="20" style="150" customWidth="1"/>
    <col min="19" max="19" width="21.5703125" style="150" customWidth="1"/>
    <col min="20" max="20" width="18.28515625" style="150" customWidth="1"/>
    <col min="21" max="21" width="19.5703125" style="150" customWidth="1"/>
    <col min="22" max="22" width="19.42578125" style="150" customWidth="1"/>
    <col min="23" max="23" width="20.42578125" style="150" customWidth="1"/>
    <col min="24" max="25" width="20.7109375" style="150" customWidth="1"/>
    <col min="26" max="26" width="22.42578125" style="150" customWidth="1"/>
    <col min="27" max="27" width="21.7109375" style="150" customWidth="1"/>
    <col min="28" max="28" width="20.28515625" style="150" customWidth="1"/>
    <col min="29" max="29" width="18.5703125" style="150" customWidth="1"/>
    <col min="30" max="30" width="21.7109375" style="150" customWidth="1"/>
    <col min="31" max="31" width="22" style="150" customWidth="1"/>
    <col min="32" max="32" width="19" style="150" customWidth="1"/>
    <col min="33" max="33" width="21.7109375" style="150" customWidth="1"/>
    <col min="34" max="34" width="20.28515625" style="150" customWidth="1"/>
    <col min="35" max="35" width="18.140625" style="150" customWidth="1"/>
    <col min="36" max="36" width="12.85546875" style="150" customWidth="1"/>
    <col min="37" max="37" width="19.140625" style="150" customWidth="1"/>
    <col min="38" max="16384" width="9.140625" style="150"/>
  </cols>
  <sheetData>
    <row r="1" spans="1:40">
      <c r="A1" s="147" t="s">
        <v>0</v>
      </c>
      <c r="B1" s="148"/>
      <c r="C1" s="149"/>
      <c r="D1" s="149"/>
      <c r="E1" s="148"/>
      <c r="F1" s="148"/>
      <c r="G1" s="148"/>
      <c r="H1" s="148"/>
      <c r="I1" s="148"/>
      <c r="J1" s="149"/>
      <c r="K1" s="149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</row>
    <row r="2" spans="1:40" s="154" customFormat="1">
      <c r="A2" s="151" t="s">
        <v>1</v>
      </c>
      <c r="B2" s="152"/>
      <c r="C2" s="153"/>
      <c r="D2" s="153"/>
      <c r="E2" s="152"/>
      <c r="F2" s="152"/>
      <c r="G2" s="152"/>
      <c r="H2" s="152"/>
      <c r="I2" s="152"/>
      <c r="J2" s="153"/>
      <c r="K2" s="153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</row>
    <row r="3" spans="1:40">
      <c r="A3" s="155" t="s">
        <v>2</v>
      </c>
      <c r="B3" s="156">
        <v>44501</v>
      </c>
      <c r="C3" s="153"/>
      <c r="D3" s="153"/>
      <c r="E3" s="152"/>
      <c r="F3" s="152"/>
      <c r="G3" s="152"/>
      <c r="H3" s="152"/>
      <c r="I3" s="152"/>
      <c r="J3" s="153"/>
      <c r="K3" s="153"/>
      <c r="L3" s="152"/>
      <c r="M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</row>
    <row r="4" spans="1:40">
      <c r="A4" s="157" t="s">
        <v>3</v>
      </c>
      <c r="B4" s="158" t="s">
        <v>4</v>
      </c>
      <c r="C4" s="390" t="s">
        <v>5</v>
      </c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2"/>
      <c r="AH4" s="159" t="s">
        <v>6</v>
      </c>
      <c r="AI4" s="154"/>
    </row>
    <row r="5" spans="1:40">
      <c r="A5" s="157"/>
      <c r="B5" s="158"/>
      <c r="C5" s="160">
        <v>306</v>
      </c>
      <c r="D5" s="160">
        <v>307</v>
      </c>
      <c r="E5" s="160">
        <v>308</v>
      </c>
      <c r="F5" s="160">
        <v>309</v>
      </c>
      <c r="G5" s="160">
        <v>310</v>
      </c>
      <c r="H5" s="160">
        <v>311</v>
      </c>
      <c r="I5" s="160">
        <v>312</v>
      </c>
      <c r="J5" s="160">
        <v>313</v>
      </c>
      <c r="K5" s="160">
        <v>314</v>
      </c>
      <c r="L5" s="160">
        <v>315</v>
      </c>
      <c r="M5" s="160">
        <v>316</v>
      </c>
      <c r="N5" s="160">
        <v>317</v>
      </c>
      <c r="O5" s="160">
        <v>318</v>
      </c>
      <c r="P5" s="160">
        <v>319</v>
      </c>
      <c r="Q5" s="160">
        <v>320</v>
      </c>
      <c r="R5" s="160">
        <v>321</v>
      </c>
      <c r="S5" s="160">
        <v>322</v>
      </c>
      <c r="T5" s="160">
        <v>323</v>
      </c>
      <c r="U5" s="160">
        <v>324</v>
      </c>
      <c r="V5" s="160">
        <v>325</v>
      </c>
      <c r="W5" s="160">
        <v>326</v>
      </c>
      <c r="X5" s="160">
        <v>327</v>
      </c>
      <c r="Y5" s="160">
        <v>328</v>
      </c>
      <c r="Z5" s="160">
        <v>329</v>
      </c>
      <c r="AA5" s="160">
        <v>330</v>
      </c>
      <c r="AB5" s="160">
        <v>331</v>
      </c>
      <c r="AC5" s="160">
        <v>332</v>
      </c>
      <c r="AD5" s="160">
        <v>333</v>
      </c>
      <c r="AE5" s="160">
        <v>334</v>
      </c>
      <c r="AF5" s="160">
        <v>335</v>
      </c>
      <c r="AG5" s="160">
        <v>336</v>
      </c>
      <c r="AH5" s="159"/>
      <c r="AI5" s="154"/>
    </row>
    <row r="6" spans="1:40">
      <c r="A6" s="161" t="s">
        <v>7</v>
      </c>
      <c r="B6" s="162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3"/>
      <c r="AI6" s="173"/>
      <c r="AN6" s="167"/>
    </row>
    <row r="7" spans="1:40">
      <c r="A7" s="231" t="s">
        <v>357</v>
      </c>
      <c r="B7" s="162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8">
        <v>2301464880</v>
      </c>
      <c r="AG7" s="167"/>
      <c r="AH7" s="165">
        <f t="shared" ref="AH7:AH46" si="0">SUM(C7:AG7)</f>
        <v>2301464880</v>
      </c>
      <c r="AI7" s="173"/>
      <c r="AN7" s="163"/>
    </row>
    <row r="8" spans="1:40">
      <c r="A8" s="166" t="s">
        <v>356</v>
      </c>
      <c r="B8" s="191"/>
      <c r="C8" s="163"/>
      <c r="D8" s="164">
        <v>2624244480</v>
      </c>
      <c r="E8" s="163"/>
      <c r="F8" s="163"/>
      <c r="G8" s="163"/>
      <c r="H8" s="163"/>
      <c r="I8" s="163"/>
      <c r="J8" s="163"/>
      <c r="K8" s="164"/>
      <c r="L8" s="164"/>
      <c r="M8" s="164"/>
      <c r="N8" s="164"/>
      <c r="O8" s="164"/>
      <c r="P8" s="163"/>
      <c r="Q8" s="164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5">
        <f t="shared" si="0"/>
        <v>2624244480</v>
      </c>
      <c r="AI8" s="154"/>
      <c r="AN8" s="167"/>
    </row>
    <row r="9" spans="1:40">
      <c r="A9" s="166" t="s">
        <v>408</v>
      </c>
      <c r="B9" s="191"/>
      <c r="C9" s="167"/>
      <c r="D9" s="167"/>
      <c r="E9" s="233"/>
      <c r="F9" s="170"/>
      <c r="G9" s="167"/>
      <c r="H9" s="170"/>
      <c r="I9" s="170"/>
      <c r="J9" s="170"/>
      <c r="K9" s="175"/>
      <c r="L9" s="175"/>
      <c r="M9" s="175"/>
      <c r="N9" s="175"/>
      <c r="O9" s="175"/>
      <c r="P9" s="175"/>
      <c r="Q9" s="175"/>
      <c r="R9" s="168"/>
      <c r="S9" s="170"/>
      <c r="T9" s="168"/>
      <c r="U9" s="168">
        <v>134386923</v>
      </c>
      <c r="V9" s="168"/>
      <c r="W9" s="167"/>
      <c r="X9" s="168"/>
      <c r="Y9" s="168"/>
      <c r="Z9" s="168"/>
      <c r="AA9" s="168"/>
      <c r="AB9" s="168"/>
      <c r="AC9" s="168"/>
      <c r="AD9" s="167"/>
      <c r="AE9" s="168"/>
      <c r="AF9" s="167"/>
      <c r="AG9" s="167"/>
      <c r="AH9" s="165">
        <f t="shared" si="0"/>
        <v>134386923</v>
      </c>
      <c r="AI9" s="173"/>
      <c r="AN9" s="167"/>
    </row>
    <row r="10" spans="1:40">
      <c r="A10" s="166" t="s">
        <v>366</v>
      </c>
      <c r="B10" s="191"/>
      <c r="C10" s="167"/>
      <c r="D10" s="167"/>
      <c r="E10" s="233"/>
      <c r="F10" s="170"/>
      <c r="G10" s="167"/>
      <c r="H10" s="170"/>
      <c r="I10" s="170"/>
      <c r="J10" s="170"/>
      <c r="K10" s="175"/>
      <c r="L10" s="175"/>
      <c r="M10" s="175"/>
      <c r="N10" s="175"/>
      <c r="O10" s="175"/>
      <c r="P10" s="172"/>
      <c r="Q10" s="175"/>
      <c r="R10" s="168"/>
      <c r="S10" s="170"/>
      <c r="T10" s="168"/>
      <c r="U10" s="168"/>
      <c r="V10" s="168"/>
      <c r="W10" s="167"/>
      <c r="X10" s="168"/>
      <c r="Y10" s="168"/>
      <c r="Z10" s="168"/>
      <c r="AA10" s="168"/>
      <c r="AB10" s="168"/>
      <c r="AC10" s="168"/>
      <c r="AD10" s="167"/>
      <c r="AE10" s="168"/>
      <c r="AF10" s="167"/>
      <c r="AG10" s="167"/>
      <c r="AH10" s="165"/>
      <c r="AI10" s="173"/>
      <c r="AN10" s="167"/>
    </row>
    <row r="11" spans="1:40">
      <c r="A11" s="166" t="s">
        <v>10</v>
      </c>
      <c r="B11" s="191"/>
      <c r="C11" s="168"/>
      <c r="D11" s="167"/>
      <c r="E11" s="233"/>
      <c r="F11" s="167"/>
      <c r="G11" s="167"/>
      <c r="H11" s="168"/>
      <c r="I11" s="168"/>
      <c r="J11" s="168"/>
      <c r="K11" s="175"/>
      <c r="L11" s="175"/>
      <c r="M11" s="175"/>
      <c r="N11" s="175"/>
      <c r="O11" s="175"/>
      <c r="P11" s="175"/>
      <c r="Q11" s="175"/>
      <c r="R11" s="175"/>
      <c r="S11" s="175"/>
      <c r="T11" s="167"/>
      <c r="U11" s="168"/>
      <c r="V11" s="168"/>
      <c r="W11" s="167"/>
      <c r="X11" s="168"/>
      <c r="Y11" s="168"/>
      <c r="Z11" s="168"/>
      <c r="AA11" s="168"/>
      <c r="AB11" s="168"/>
      <c r="AC11" s="168"/>
      <c r="AD11" s="167"/>
      <c r="AE11" s="168"/>
      <c r="AF11" s="167"/>
      <c r="AG11" s="167"/>
      <c r="AH11" s="165">
        <f t="shared" si="0"/>
        <v>0</v>
      </c>
      <c r="AI11" s="173"/>
      <c r="AN11" s="236">
        <v>21000000</v>
      </c>
    </row>
    <row r="12" spans="1:40">
      <c r="A12" s="166" t="s">
        <v>205</v>
      </c>
      <c r="B12" s="191"/>
      <c r="C12" s="175"/>
      <c r="D12" s="175"/>
      <c r="E12" s="175"/>
      <c r="F12" s="175"/>
      <c r="G12" s="175"/>
      <c r="H12" s="175"/>
      <c r="I12" s="175"/>
      <c r="J12" s="175"/>
      <c r="K12" s="236"/>
      <c r="L12" s="169"/>
      <c r="M12" s="169"/>
      <c r="N12" s="175"/>
      <c r="O12" s="175"/>
      <c r="P12" s="175"/>
      <c r="Q12" s="175"/>
      <c r="R12" s="175"/>
      <c r="S12" s="236"/>
      <c r="T12" s="236"/>
      <c r="U12" s="236"/>
      <c r="V12" s="236"/>
      <c r="W12" s="167"/>
      <c r="X12" s="236"/>
      <c r="Y12" s="236"/>
      <c r="Z12" s="236"/>
      <c r="AA12" s="236"/>
      <c r="AB12" s="236"/>
      <c r="AC12" s="236"/>
      <c r="AD12" s="175"/>
      <c r="AE12" s="236"/>
      <c r="AF12" s="236"/>
      <c r="AG12" s="236"/>
      <c r="AH12" s="165">
        <f t="shared" si="0"/>
        <v>0</v>
      </c>
      <c r="AI12" s="234"/>
      <c r="AN12" s="236">
        <v>14000000</v>
      </c>
    </row>
    <row r="13" spans="1:40">
      <c r="A13" s="166" t="s">
        <v>206</v>
      </c>
      <c r="B13" s="191"/>
      <c r="C13" s="175"/>
      <c r="D13" s="175"/>
      <c r="E13" s="175"/>
      <c r="F13" s="175"/>
      <c r="G13" s="175"/>
      <c r="H13" s="175"/>
      <c r="I13" s="175"/>
      <c r="J13" s="175"/>
      <c r="K13" s="236"/>
      <c r="L13" s="169"/>
      <c r="M13" s="169"/>
      <c r="N13" s="175"/>
      <c r="O13" s="175"/>
      <c r="P13" s="175"/>
      <c r="Q13" s="175"/>
      <c r="R13" s="175"/>
      <c r="S13" s="236"/>
      <c r="T13" s="236"/>
      <c r="U13" s="236"/>
      <c r="V13" s="236"/>
      <c r="W13" s="175"/>
      <c r="X13" s="236"/>
      <c r="Y13" s="236"/>
      <c r="Z13" s="236"/>
      <c r="AA13" s="236"/>
      <c r="AB13" s="236"/>
      <c r="AC13" s="236"/>
      <c r="AD13" s="175"/>
      <c r="AE13" s="236"/>
      <c r="AF13" s="236"/>
      <c r="AG13" s="236"/>
      <c r="AH13" s="165">
        <f t="shared" si="0"/>
        <v>0</v>
      </c>
      <c r="AI13" s="234">
        <f>SUM(AH12:AH13)</f>
        <v>0</v>
      </c>
      <c r="AN13" s="175"/>
    </row>
    <row r="14" spans="1:40">
      <c r="A14" s="166" t="s">
        <v>377</v>
      </c>
      <c r="B14" s="191"/>
      <c r="C14" s="175"/>
      <c r="D14" s="175"/>
      <c r="E14" s="175"/>
      <c r="F14" s="175"/>
      <c r="G14" s="175"/>
      <c r="H14" s="175"/>
      <c r="I14" s="175"/>
      <c r="J14" s="175"/>
      <c r="K14" s="172">
        <f>299466286+121596669+4520176</f>
        <v>425583131</v>
      </c>
      <c r="L14" s="175"/>
      <c r="M14" s="175"/>
      <c r="N14" s="175"/>
      <c r="O14" s="175"/>
      <c r="P14" s="175"/>
      <c r="Q14" s="172">
        <v>139874486</v>
      </c>
      <c r="R14" s="175"/>
      <c r="S14" s="175"/>
      <c r="T14" s="172"/>
      <c r="U14" s="175"/>
      <c r="V14" s="175"/>
      <c r="W14" s="175"/>
      <c r="X14" s="175"/>
      <c r="Y14" s="175"/>
      <c r="Z14" s="175"/>
      <c r="AA14" s="175"/>
      <c r="AB14" s="175"/>
      <c r="AC14" s="175"/>
      <c r="AD14" s="172"/>
      <c r="AE14" s="175"/>
      <c r="AF14" s="175"/>
      <c r="AG14" s="175"/>
      <c r="AH14" s="165">
        <f t="shared" si="0"/>
        <v>565457617</v>
      </c>
      <c r="AI14" s="234"/>
      <c r="AN14" s="175"/>
    </row>
    <row r="15" spans="1:40">
      <c r="A15" s="166" t="s">
        <v>365</v>
      </c>
      <c r="B15" s="191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65">
        <f t="shared" si="0"/>
        <v>0</v>
      </c>
      <c r="AI15" s="234"/>
      <c r="AN15" s="175"/>
    </row>
    <row r="16" spans="1:40">
      <c r="A16" s="166" t="s">
        <v>261</v>
      </c>
      <c r="B16" s="191"/>
      <c r="C16" s="175"/>
      <c r="D16" s="175"/>
      <c r="E16" s="175"/>
      <c r="F16" s="175"/>
      <c r="G16" s="175"/>
      <c r="H16" s="175"/>
      <c r="I16" s="175"/>
      <c r="J16" s="175"/>
      <c r="K16" s="234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65">
        <f t="shared" si="0"/>
        <v>0</v>
      </c>
      <c r="AI16" s="234"/>
      <c r="AN16" s="175"/>
    </row>
    <row r="17" spans="1:40">
      <c r="A17" s="166" t="s">
        <v>307</v>
      </c>
      <c r="B17" s="191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2">
        <v>113660090</v>
      </c>
      <c r="Y17" s="175"/>
      <c r="Z17" s="175"/>
      <c r="AA17" s="175"/>
      <c r="AB17" s="175"/>
      <c r="AC17" s="175"/>
      <c r="AD17" s="175"/>
      <c r="AE17" s="175"/>
      <c r="AF17" s="175"/>
      <c r="AG17" s="175"/>
      <c r="AH17" s="165">
        <f t="shared" si="0"/>
        <v>113660090</v>
      </c>
      <c r="AI17" s="234"/>
      <c r="AN17" s="175"/>
    </row>
    <row r="18" spans="1:40">
      <c r="A18" s="166" t="s">
        <v>308</v>
      </c>
      <c r="B18" s="191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2">
        <v>113864148</v>
      </c>
      <c r="Y18" s="175"/>
      <c r="Z18" s="175"/>
      <c r="AA18" s="175"/>
      <c r="AB18" s="175"/>
      <c r="AC18" s="175"/>
      <c r="AD18" s="175"/>
      <c r="AE18" s="175"/>
      <c r="AF18" s="175"/>
      <c r="AG18" s="175"/>
      <c r="AH18" s="165">
        <f t="shared" si="0"/>
        <v>113864148</v>
      </c>
      <c r="AI18" s="234"/>
      <c r="AN18" s="175"/>
    </row>
    <row r="19" spans="1:40">
      <c r="A19" s="166" t="s">
        <v>349</v>
      </c>
      <c r="B19" s="191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2">
        <v>165247969</v>
      </c>
      <c r="Y19" s="175"/>
      <c r="Z19" s="175"/>
      <c r="AA19" s="175"/>
      <c r="AB19" s="175"/>
      <c r="AC19" s="175"/>
      <c r="AD19" s="175"/>
      <c r="AE19" s="175"/>
      <c r="AF19" s="175"/>
      <c r="AG19" s="175"/>
      <c r="AH19" s="165">
        <f t="shared" si="0"/>
        <v>165247969</v>
      </c>
      <c r="AI19" s="234"/>
      <c r="AN19" s="175">
        <v>130338957</v>
      </c>
    </row>
    <row r="20" spans="1:40">
      <c r="A20" s="166" t="s">
        <v>360</v>
      </c>
      <c r="B20" s="191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2"/>
      <c r="Y20" s="175"/>
      <c r="Z20" s="175"/>
      <c r="AA20" s="175"/>
      <c r="AB20" s="175"/>
      <c r="AC20" s="175"/>
      <c r="AD20" s="175"/>
      <c r="AE20" s="175"/>
      <c r="AF20" s="175"/>
      <c r="AG20" s="175"/>
      <c r="AH20" s="165">
        <f t="shared" si="0"/>
        <v>0</v>
      </c>
      <c r="AI20" s="234"/>
      <c r="AN20" s="175">
        <v>164979291</v>
      </c>
    </row>
    <row r="21" spans="1:40">
      <c r="A21" s="166" t="s">
        <v>361</v>
      </c>
      <c r="B21" s="191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65">
        <f t="shared" si="0"/>
        <v>0</v>
      </c>
      <c r="AI21" s="234"/>
      <c r="AN21" s="175">
        <v>124193197</v>
      </c>
    </row>
    <row r="22" spans="1:40">
      <c r="A22" s="166" t="s">
        <v>383</v>
      </c>
      <c r="B22" s="191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65">
        <f t="shared" si="0"/>
        <v>0</v>
      </c>
      <c r="AI22" s="234"/>
      <c r="AN22" s="175">
        <v>236518683</v>
      </c>
    </row>
    <row r="23" spans="1:40">
      <c r="A23" s="166" t="s">
        <v>384</v>
      </c>
      <c r="B23" s="191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65">
        <f t="shared" si="0"/>
        <v>0</v>
      </c>
      <c r="AI23" s="234"/>
      <c r="AN23" s="175">
        <v>156932752</v>
      </c>
    </row>
    <row r="24" spans="1:40">
      <c r="A24" s="166" t="s">
        <v>396</v>
      </c>
      <c r="B24" s="191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65"/>
      <c r="AI24" s="234"/>
      <c r="AN24" s="175">
        <v>182532153</v>
      </c>
    </row>
    <row r="25" spans="1:40">
      <c r="A25" s="166" t="s">
        <v>397</v>
      </c>
      <c r="B25" s="191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65"/>
      <c r="AI25" s="234">
        <f>SUM(AH17:AH25)</f>
        <v>392772207</v>
      </c>
      <c r="AN25" s="175">
        <v>492777941</v>
      </c>
    </row>
    <row r="26" spans="1:40">
      <c r="A26" s="166" t="s">
        <v>410</v>
      </c>
      <c r="B26" s="191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65"/>
      <c r="AI26" s="234"/>
      <c r="AN26" s="175">
        <v>131350385</v>
      </c>
    </row>
    <row r="27" spans="1:40">
      <c r="A27" s="166" t="s">
        <v>411</v>
      </c>
      <c r="B27" s="191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2"/>
      <c r="AB27" s="175"/>
      <c r="AC27" s="175"/>
      <c r="AD27" s="175"/>
      <c r="AE27" s="175"/>
      <c r="AF27" s="175"/>
      <c r="AG27" s="175"/>
      <c r="AH27" s="165"/>
      <c r="AI27" s="234"/>
      <c r="AN27" s="175"/>
    </row>
    <row r="28" spans="1:40">
      <c r="A28" s="166" t="s">
        <v>17</v>
      </c>
      <c r="B28" s="191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2"/>
      <c r="X28" s="175"/>
      <c r="Y28" s="175"/>
      <c r="Z28" s="175"/>
      <c r="AA28" s="172">
        <v>162108000</v>
      </c>
      <c r="AB28" s="175"/>
      <c r="AC28" s="175"/>
      <c r="AD28" s="175"/>
      <c r="AE28" s="175"/>
      <c r="AF28" s="175"/>
      <c r="AG28" s="175"/>
      <c r="AH28" s="165">
        <f t="shared" si="0"/>
        <v>162108000</v>
      </c>
      <c r="AI28" s="234"/>
      <c r="AN28" s="167"/>
    </row>
    <row r="29" spans="1:40">
      <c r="A29" s="166" t="s">
        <v>18</v>
      </c>
      <c r="B29" s="191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70"/>
      <c r="X29" s="167"/>
      <c r="Y29" s="167"/>
      <c r="Z29" s="167"/>
      <c r="AA29" s="168"/>
      <c r="AB29" s="167"/>
      <c r="AC29" s="167"/>
      <c r="AD29" s="167"/>
      <c r="AE29" s="167"/>
      <c r="AF29" s="167"/>
      <c r="AG29" s="167"/>
      <c r="AH29" s="165">
        <f t="shared" si="0"/>
        <v>0</v>
      </c>
      <c r="AI29" s="233"/>
      <c r="AN29" s="167"/>
    </row>
    <row r="30" spans="1:40">
      <c r="A30" s="166" t="s">
        <v>19</v>
      </c>
      <c r="B30" s="191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70"/>
      <c r="X30" s="167"/>
      <c r="Y30" s="167"/>
      <c r="Z30" s="167"/>
      <c r="AA30" s="167"/>
      <c r="AB30" s="167"/>
      <c r="AC30" s="167"/>
      <c r="AD30" s="167"/>
      <c r="AE30" s="168">
        <v>306000000</v>
      </c>
      <c r="AF30" s="167"/>
      <c r="AG30" s="167"/>
      <c r="AH30" s="165">
        <f t="shared" si="0"/>
        <v>306000000</v>
      </c>
      <c r="AI30" s="233"/>
      <c r="AN30" s="167"/>
    </row>
    <row r="31" spans="1:40">
      <c r="A31" s="166" t="s">
        <v>20</v>
      </c>
      <c r="B31" s="191"/>
      <c r="C31" s="167"/>
      <c r="D31" s="167"/>
      <c r="E31" s="168">
        <f>30092250-10552383</f>
        <v>19539867</v>
      </c>
      <c r="F31" s="167"/>
      <c r="G31" s="167"/>
      <c r="H31" s="167"/>
      <c r="I31" s="167"/>
      <c r="J31" s="167"/>
      <c r="K31" s="167"/>
      <c r="L31" s="167"/>
      <c r="M31" s="167"/>
      <c r="N31" s="168"/>
      <c r="O31" s="168"/>
      <c r="P31" s="167"/>
      <c r="Q31" s="168"/>
      <c r="R31" s="167"/>
      <c r="S31" s="167"/>
      <c r="T31" s="167"/>
      <c r="U31" s="167"/>
      <c r="V31" s="167"/>
      <c r="W31" s="170"/>
      <c r="X31" s="167"/>
      <c r="Y31" s="167"/>
      <c r="Z31" s="167"/>
      <c r="AA31" s="167"/>
      <c r="AB31" s="167"/>
      <c r="AC31" s="167"/>
      <c r="AD31" s="167"/>
      <c r="AE31" s="167"/>
      <c r="AF31" s="168">
        <v>1047888740</v>
      </c>
      <c r="AG31" s="167"/>
      <c r="AH31" s="165">
        <f t="shared" si="0"/>
        <v>1067428607</v>
      </c>
      <c r="AI31" s="233"/>
      <c r="AN31" s="167"/>
    </row>
    <row r="32" spans="1:40">
      <c r="A32" s="166" t="s">
        <v>392</v>
      </c>
      <c r="B32" s="191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8">
        <v>406343611</v>
      </c>
      <c r="S32" s="167"/>
      <c r="T32" s="167"/>
      <c r="U32" s="167"/>
      <c r="V32" s="167"/>
      <c r="W32" s="170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5"/>
      <c r="AI32" s="233"/>
      <c r="AN32" s="167"/>
    </row>
    <row r="33" spans="1:40">
      <c r="A33" s="166" t="s">
        <v>393</v>
      </c>
      <c r="B33" s="191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8">
        <v>338193325</v>
      </c>
      <c r="S33" s="167"/>
      <c r="T33" s="167"/>
      <c r="U33" s="167"/>
      <c r="V33" s="167"/>
      <c r="W33" s="170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5"/>
      <c r="AI33" s="233"/>
      <c r="AN33" s="167"/>
    </row>
    <row r="34" spans="1:40">
      <c r="A34" s="166" t="s">
        <v>394</v>
      </c>
      <c r="B34" s="191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8">
        <f>157216443-10223579</f>
        <v>146992864</v>
      </c>
      <c r="S34" s="167"/>
      <c r="T34" s="167"/>
      <c r="U34" s="167"/>
      <c r="V34" s="167"/>
      <c r="W34" s="170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5"/>
      <c r="AI34" s="233"/>
      <c r="AN34" s="167">
        <v>298689531</v>
      </c>
    </row>
    <row r="35" spans="1:40">
      <c r="A35" s="166" t="s">
        <v>395</v>
      </c>
      <c r="B35" s="191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70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5"/>
      <c r="AI35" s="233"/>
      <c r="AN35" s="167">
        <v>395726431</v>
      </c>
    </row>
    <row r="36" spans="1:40">
      <c r="A36" s="166" t="s">
        <v>398</v>
      </c>
      <c r="B36" s="191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70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5"/>
      <c r="AI36" s="233"/>
      <c r="AN36" s="167">
        <v>353472778</v>
      </c>
    </row>
    <row r="37" spans="1:40">
      <c r="A37" s="166" t="s">
        <v>399</v>
      </c>
      <c r="B37" s="191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70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5"/>
      <c r="AI37" s="233"/>
      <c r="AN37" s="167">
        <v>190016396</v>
      </c>
    </row>
    <row r="38" spans="1:40">
      <c r="A38" s="166" t="s">
        <v>400</v>
      </c>
      <c r="B38" s="191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70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5"/>
      <c r="AI38" s="233"/>
      <c r="AN38" s="167">
        <v>311388248</v>
      </c>
    </row>
    <row r="39" spans="1:40">
      <c r="A39" s="166" t="s">
        <v>401</v>
      </c>
      <c r="B39" s="191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70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5"/>
      <c r="AI39" s="233">
        <f>SUM(AH32:AH39)</f>
        <v>0</v>
      </c>
      <c r="AN39" s="167">
        <v>116660899</v>
      </c>
    </row>
    <row r="40" spans="1:40">
      <c r="A40" s="166" t="s">
        <v>404</v>
      </c>
      <c r="B40" s="191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70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5"/>
      <c r="AI40" s="233"/>
      <c r="AN40" s="167">
        <v>532372732</v>
      </c>
    </row>
    <row r="41" spans="1:40">
      <c r="A41" s="166" t="s">
        <v>405</v>
      </c>
      <c r="B41" s="191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70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5"/>
      <c r="AI41" s="233"/>
      <c r="AN41" s="167">
        <v>105840178</v>
      </c>
    </row>
    <row r="42" spans="1:40">
      <c r="A42" s="166" t="s">
        <v>412</v>
      </c>
      <c r="B42" s="191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70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5"/>
      <c r="AI42" s="233"/>
      <c r="AN42" s="167">
        <v>154871570</v>
      </c>
    </row>
    <row r="43" spans="1:40">
      <c r="A43" s="166" t="s">
        <v>413</v>
      </c>
      <c r="B43" s="191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70"/>
      <c r="X43" s="167"/>
      <c r="Y43" s="167"/>
      <c r="Z43" s="167"/>
      <c r="AA43" s="167"/>
      <c r="AB43" s="172"/>
      <c r="AC43" s="167"/>
      <c r="AD43" s="167"/>
      <c r="AE43" s="167"/>
      <c r="AF43" s="167"/>
      <c r="AG43" s="167"/>
      <c r="AH43" s="165"/>
      <c r="AI43" s="233"/>
      <c r="AN43" s="168"/>
    </row>
    <row r="44" spans="1:40">
      <c r="A44" s="166" t="s">
        <v>43</v>
      </c>
      <c r="B44" s="191"/>
      <c r="C44" s="172"/>
      <c r="D44" s="167"/>
      <c r="E44" s="167"/>
      <c r="F44" s="167"/>
      <c r="G44" s="167"/>
      <c r="H44" s="167"/>
      <c r="I44" s="168"/>
      <c r="J44" s="168">
        <v>221890108</v>
      </c>
      <c r="K44" s="233"/>
      <c r="L44" s="233"/>
      <c r="M44" s="233"/>
      <c r="N44" s="167"/>
      <c r="O44" s="167"/>
      <c r="P44" s="175"/>
      <c r="Q44" s="167"/>
      <c r="R44" s="170"/>
      <c r="S44" s="170"/>
      <c r="T44" s="172">
        <f>141364256-90216148</f>
        <v>51148108</v>
      </c>
      <c r="U44" s="172"/>
      <c r="V44" s="172"/>
      <c r="W44" s="170"/>
      <c r="X44" s="172"/>
      <c r="Y44" s="172"/>
      <c r="Z44" s="172"/>
      <c r="AA44" s="172"/>
      <c r="AB44" s="172">
        <v>64342960</v>
      </c>
      <c r="AC44" s="168"/>
      <c r="AD44" s="168"/>
      <c r="AE44" s="168">
        <v>65762290</v>
      </c>
      <c r="AF44" s="168"/>
      <c r="AG44" s="168"/>
      <c r="AH44" s="165">
        <f t="shared" si="0"/>
        <v>403143466</v>
      </c>
      <c r="AI44" s="233"/>
      <c r="AN44" s="170"/>
    </row>
    <row r="45" spans="1:40">
      <c r="A45" s="166" t="s">
        <v>318</v>
      </c>
      <c r="B45" s="191"/>
      <c r="C45" s="171">
        <f>144267176-58252264</f>
        <v>86014912</v>
      </c>
      <c r="D45" s="167"/>
      <c r="E45" s="167"/>
      <c r="F45" s="167"/>
      <c r="G45" s="167"/>
      <c r="H45" s="167"/>
      <c r="I45" s="167"/>
      <c r="J45" s="167"/>
      <c r="K45" s="233"/>
      <c r="L45" s="233"/>
      <c r="M45" s="233"/>
      <c r="N45" s="167"/>
      <c r="O45" s="167"/>
      <c r="P45" s="175"/>
      <c r="Q45" s="168">
        <v>63956902</v>
      </c>
      <c r="R45" s="167"/>
      <c r="S45" s="167"/>
      <c r="T45" s="175"/>
      <c r="U45" s="175"/>
      <c r="V45" s="175"/>
      <c r="W45" s="170"/>
      <c r="X45" s="175"/>
      <c r="Y45" s="175"/>
      <c r="Z45" s="172">
        <v>11093374</v>
      </c>
      <c r="AA45" s="175"/>
      <c r="AB45" s="172"/>
      <c r="AC45" s="170"/>
      <c r="AD45" s="170"/>
      <c r="AE45" s="170"/>
      <c r="AF45" s="170"/>
      <c r="AG45" s="170"/>
      <c r="AH45" s="165">
        <f t="shared" si="0"/>
        <v>161065188</v>
      </c>
      <c r="AI45" s="233"/>
      <c r="AN45" s="167"/>
    </row>
    <row r="46" spans="1:40">
      <c r="A46" s="166" t="s">
        <v>348</v>
      </c>
      <c r="B46" s="191"/>
      <c r="C46" s="175"/>
      <c r="D46" s="171"/>
      <c r="E46" s="171"/>
      <c r="F46" s="171"/>
      <c r="G46" s="171"/>
      <c r="H46" s="171"/>
      <c r="I46" s="167"/>
      <c r="J46" s="171"/>
      <c r="K46" s="235"/>
      <c r="L46" s="235"/>
      <c r="M46" s="172">
        <v>275587721</v>
      </c>
      <c r="N46" s="172">
        <f>96965572-11971016</f>
        <v>84994556</v>
      </c>
      <c r="O46" s="177"/>
      <c r="P46" s="172"/>
      <c r="Q46" s="177"/>
      <c r="R46" s="168"/>
      <c r="S46" s="168"/>
      <c r="T46" s="172"/>
      <c r="U46" s="172"/>
      <c r="V46" s="172"/>
      <c r="W46" s="170"/>
      <c r="X46" s="172"/>
      <c r="Y46" s="172"/>
      <c r="Z46" s="172"/>
      <c r="AA46" s="172">
        <f>14170553-10856184</f>
        <v>3314369</v>
      </c>
      <c r="AB46" s="172"/>
      <c r="AC46" s="167"/>
      <c r="AD46" s="167"/>
      <c r="AE46" s="167"/>
      <c r="AF46" s="167"/>
      <c r="AG46" s="167"/>
      <c r="AH46" s="165">
        <f t="shared" si="0"/>
        <v>363896646</v>
      </c>
      <c r="AI46" s="235"/>
      <c r="AN46" s="167"/>
    </row>
    <row r="47" spans="1:40">
      <c r="A47" s="166" t="s">
        <v>354</v>
      </c>
      <c r="B47" s="191"/>
      <c r="C47" s="167"/>
      <c r="D47" s="171"/>
      <c r="E47" s="171"/>
      <c r="F47" s="171"/>
      <c r="G47" s="171"/>
      <c r="H47" s="171"/>
      <c r="I47" s="167"/>
      <c r="J47" s="171"/>
      <c r="K47" s="235"/>
      <c r="L47" s="235"/>
      <c r="M47" s="235"/>
      <c r="N47" s="177"/>
      <c r="O47" s="177"/>
      <c r="P47" s="168"/>
      <c r="Q47" s="177"/>
      <c r="R47" s="168"/>
      <c r="S47" s="168"/>
      <c r="T47" s="168"/>
      <c r="U47" s="168"/>
      <c r="V47" s="168"/>
      <c r="W47" s="170"/>
      <c r="X47" s="168"/>
      <c r="Y47" s="168"/>
      <c r="Z47" s="168"/>
      <c r="AA47" s="168"/>
      <c r="AB47" s="168"/>
      <c r="AC47" s="167"/>
      <c r="AD47" s="167"/>
      <c r="AE47" s="167"/>
      <c r="AF47" s="168">
        <v>21144716</v>
      </c>
      <c r="AG47" s="167"/>
      <c r="AH47" s="165"/>
      <c r="AI47" s="235"/>
      <c r="AN47" s="168"/>
    </row>
    <row r="48" spans="1:40">
      <c r="A48" s="166" t="s">
        <v>350</v>
      </c>
      <c r="B48" s="191"/>
      <c r="C48" s="168"/>
      <c r="D48" s="167"/>
      <c r="E48" s="167"/>
      <c r="F48" s="167"/>
      <c r="G48" s="167"/>
      <c r="H48" s="167"/>
      <c r="I48" s="167"/>
      <c r="J48" s="167"/>
      <c r="K48" s="235"/>
      <c r="L48" s="235"/>
      <c r="M48" s="235"/>
      <c r="N48" s="177"/>
      <c r="O48" s="177"/>
      <c r="P48" s="170"/>
      <c r="Q48" s="177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68"/>
      <c r="AD48" s="168"/>
      <c r="AE48" s="168"/>
      <c r="AF48" s="168"/>
      <c r="AG48" s="168"/>
      <c r="AH48" s="165">
        <f t="shared" ref="AH48:AH98" si="1">SUM(C48:AG48)</f>
        <v>0</v>
      </c>
      <c r="AI48" s="235"/>
      <c r="AN48" s="168"/>
    </row>
    <row r="49" spans="1:40">
      <c r="A49" s="166" t="s">
        <v>389</v>
      </c>
      <c r="B49" s="191"/>
      <c r="C49" s="168"/>
      <c r="D49" s="181"/>
      <c r="E49" s="181"/>
      <c r="F49" s="181"/>
      <c r="G49" s="181"/>
      <c r="H49" s="181"/>
      <c r="I49" s="167"/>
      <c r="J49" s="183">
        <v>2514590</v>
      </c>
      <c r="K49" s="235"/>
      <c r="L49" s="235"/>
      <c r="M49" s="235"/>
      <c r="N49" s="177"/>
      <c r="O49" s="177"/>
      <c r="P49" s="170"/>
      <c r="Q49" s="177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68"/>
      <c r="AD49" s="168"/>
      <c r="AE49" s="168"/>
      <c r="AF49" s="168"/>
      <c r="AG49" s="168"/>
      <c r="AH49" s="165"/>
      <c r="AI49" s="235"/>
      <c r="AN49" s="168"/>
    </row>
    <row r="50" spans="1:40">
      <c r="A50" s="166" t="s">
        <v>390</v>
      </c>
      <c r="B50" s="191"/>
      <c r="C50" s="168"/>
      <c r="D50" s="181"/>
      <c r="E50" s="181"/>
      <c r="F50" s="181"/>
      <c r="G50" s="181"/>
      <c r="H50" s="181"/>
      <c r="I50" s="167"/>
      <c r="J50" s="183">
        <v>4272762</v>
      </c>
      <c r="K50" s="235"/>
      <c r="L50" s="235"/>
      <c r="M50" s="235"/>
      <c r="N50" s="177"/>
      <c r="O50" s="177"/>
      <c r="P50" s="170"/>
      <c r="Q50" s="177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68"/>
      <c r="AD50" s="168"/>
      <c r="AE50" s="168"/>
      <c r="AF50" s="168"/>
      <c r="AG50" s="168"/>
      <c r="AH50" s="165"/>
      <c r="AI50" s="235"/>
      <c r="AN50" s="168"/>
    </row>
    <row r="51" spans="1:40">
      <c r="A51" s="166" t="s">
        <v>391</v>
      </c>
      <c r="B51" s="191"/>
      <c r="C51" s="168"/>
      <c r="D51" s="181"/>
      <c r="E51" s="181"/>
      <c r="F51" s="181"/>
      <c r="G51" s="181"/>
      <c r="H51" s="181"/>
      <c r="I51" s="167"/>
      <c r="J51" s="183">
        <v>27957487</v>
      </c>
      <c r="K51" s="233"/>
      <c r="L51" s="233"/>
      <c r="M51" s="233"/>
      <c r="N51" s="177"/>
      <c r="O51" s="177"/>
      <c r="P51" s="170"/>
      <c r="Q51" s="177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68"/>
      <c r="AD51" s="168"/>
      <c r="AE51" s="168"/>
      <c r="AF51" s="168"/>
      <c r="AG51" s="168"/>
      <c r="AH51" s="165"/>
      <c r="AI51" s="233">
        <f>SUM(AH49:AH51)</f>
        <v>0</v>
      </c>
      <c r="AN51" s="236">
        <v>296293200</v>
      </c>
    </row>
    <row r="52" spans="1:40">
      <c r="A52" s="166" t="s">
        <v>194</v>
      </c>
      <c r="B52" s="191"/>
      <c r="C52" s="175"/>
      <c r="D52" s="175"/>
      <c r="E52" s="175"/>
      <c r="F52" s="175"/>
      <c r="G52" s="175"/>
      <c r="H52" s="175"/>
      <c r="I52" s="175"/>
      <c r="J52" s="175"/>
      <c r="K52" s="236"/>
      <c r="L52" s="169"/>
      <c r="M52" s="169"/>
      <c r="N52" s="175"/>
      <c r="O52" s="175"/>
      <c r="P52" s="175"/>
      <c r="Q52" s="175"/>
      <c r="R52" s="175"/>
      <c r="S52" s="236"/>
      <c r="T52" s="236"/>
      <c r="U52" s="236"/>
      <c r="V52" s="236"/>
      <c r="W52" s="170"/>
      <c r="X52" s="236"/>
      <c r="Y52" s="236"/>
      <c r="Z52" s="236"/>
      <c r="AA52" s="236"/>
      <c r="AB52" s="236"/>
      <c r="AC52" s="236"/>
      <c r="AD52" s="175"/>
      <c r="AE52" s="236"/>
      <c r="AF52" s="236"/>
      <c r="AG52" s="236"/>
      <c r="AH52" s="165">
        <f t="shared" si="1"/>
        <v>0</v>
      </c>
      <c r="AI52" s="234"/>
      <c r="AN52" s="236">
        <v>296293200</v>
      </c>
    </row>
    <row r="53" spans="1:40">
      <c r="A53" s="166" t="s">
        <v>192</v>
      </c>
      <c r="B53" s="191"/>
      <c r="C53" s="175"/>
      <c r="D53" s="175"/>
      <c r="E53" s="175"/>
      <c r="F53" s="175"/>
      <c r="G53" s="175"/>
      <c r="H53" s="175"/>
      <c r="I53" s="175"/>
      <c r="J53" s="175"/>
      <c r="K53" s="236"/>
      <c r="L53" s="169"/>
      <c r="M53" s="169"/>
      <c r="N53" s="172"/>
      <c r="O53" s="175"/>
      <c r="P53" s="175"/>
      <c r="Q53" s="175"/>
      <c r="R53" s="175"/>
      <c r="S53" s="236"/>
      <c r="T53" s="236"/>
      <c r="U53" s="236"/>
      <c r="V53" s="236"/>
      <c r="W53" s="175"/>
      <c r="X53" s="236"/>
      <c r="Y53" s="236"/>
      <c r="Z53" s="236"/>
      <c r="AA53" s="236"/>
      <c r="AB53" s="236"/>
      <c r="AC53" s="236"/>
      <c r="AD53" s="175"/>
      <c r="AE53" s="236"/>
      <c r="AF53" s="236"/>
      <c r="AG53" s="236"/>
      <c r="AH53" s="165">
        <f t="shared" si="1"/>
        <v>0</v>
      </c>
      <c r="AI53" s="234">
        <f>SUM(AH52:AH53)</f>
        <v>0</v>
      </c>
      <c r="AN53" s="236">
        <v>103374298</v>
      </c>
    </row>
    <row r="54" spans="1:40">
      <c r="A54" s="166" t="s">
        <v>326</v>
      </c>
      <c r="B54" s="191"/>
      <c r="C54" s="175"/>
      <c r="D54" s="175"/>
      <c r="E54" s="175"/>
      <c r="F54" s="175"/>
      <c r="G54" s="175"/>
      <c r="H54" s="175"/>
      <c r="I54" s="175"/>
      <c r="J54" s="175"/>
      <c r="K54" s="236"/>
      <c r="L54" s="169"/>
      <c r="M54" s="169"/>
      <c r="N54" s="172">
        <v>33402690</v>
      </c>
      <c r="O54" s="175"/>
      <c r="P54" s="175"/>
      <c r="Q54" s="175"/>
      <c r="R54" s="175"/>
      <c r="S54" s="236"/>
      <c r="T54" s="236"/>
      <c r="U54" s="236"/>
      <c r="V54" s="236"/>
      <c r="W54" s="175"/>
      <c r="X54" s="236"/>
      <c r="Y54" s="236"/>
      <c r="Z54" s="236"/>
      <c r="AA54" s="236"/>
      <c r="AB54" s="236"/>
      <c r="AC54" s="236"/>
      <c r="AD54" s="175"/>
      <c r="AE54" s="236"/>
      <c r="AF54" s="236"/>
      <c r="AG54" s="236"/>
      <c r="AH54" s="165">
        <f t="shared" si="1"/>
        <v>33402690</v>
      </c>
      <c r="AI54" s="234"/>
      <c r="AJ54" s="184"/>
      <c r="AK54" s="186">
        <f>6325269+60889034</f>
        <v>67214303</v>
      </c>
      <c r="AN54" s="236">
        <v>61709422</v>
      </c>
    </row>
    <row r="55" spans="1:40">
      <c r="A55" s="187" t="s">
        <v>327</v>
      </c>
      <c r="B55" s="191"/>
      <c r="C55" s="175"/>
      <c r="D55" s="175"/>
      <c r="E55" s="175"/>
      <c r="F55" s="175"/>
      <c r="G55" s="175"/>
      <c r="H55" s="175"/>
      <c r="I55" s="175"/>
      <c r="J55" s="175"/>
      <c r="K55" s="236"/>
      <c r="L55" s="169"/>
      <c r="M55" s="169"/>
      <c r="N55" s="172"/>
      <c r="O55" s="175"/>
      <c r="P55" s="175"/>
      <c r="Q55" s="175"/>
      <c r="R55" s="175"/>
      <c r="S55" s="236"/>
      <c r="T55" s="236"/>
      <c r="U55" s="236"/>
      <c r="V55" s="236"/>
      <c r="W55" s="175"/>
      <c r="X55" s="236"/>
      <c r="Y55" s="236"/>
      <c r="Z55" s="236"/>
      <c r="AA55" s="236"/>
      <c r="AB55" s="236"/>
      <c r="AC55" s="236"/>
      <c r="AD55" s="175"/>
      <c r="AE55" s="236"/>
      <c r="AF55" s="236"/>
      <c r="AG55" s="236"/>
      <c r="AH55" s="165">
        <f t="shared" si="1"/>
        <v>0</v>
      </c>
      <c r="AI55" s="234"/>
      <c r="AJ55" s="184"/>
      <c r="AK55" s="186"/>
      <c r="AN55" s="236">
        <v>349578345</v>
      </c>
    </row>
    <row r="56" spans="1:40">
      <c r="A56" s="187" t="s">
        <v>328</v>
      </c>
      <c r="B56" s="191"/>
      <c r="C56" s="175"/>
      <c r="D56" s="175"/>
      <c r="E56" s="175"/>
      <c r="F56" s="175"/>
      <c r="G56" s="175"/>
      <c r="H56" s="175"/>
      <c r="I56" s="175"/>
      <c r="J56" s="175"/>
      <c r="K56" s="236"/>
      <c r="L56" s="169"/>
      <c r="M56" s="169"/>
      <c r="N56" s="172"/>
      <c r="O56" s="175"/>
      <c r="P56" s="175"/>
      <c r="Q56" s="175"/>
      <c r="R56" s="175"/>
      <c r="S56" s="236"/>
      <c r="T56" s="236"/>
      <c r="U56" s="236"/>
      <c r="V56" s="236"/>
      <c r="W56" s="175"/>
      <c r="X56" s="236"/>
      <c r="Y56" s="236"/>
      <c r="Z56" s="236"/>
      <c r="AA56" s="236"/>
      <c r="AB56" s="236"/>
      <c r="AC56" s="236"/>
      <c r="AD56" s="175"/>
      <c r="AE56" s="236"/>
      <c r="AF56" s="236"/>
      <c r="AG56" s="236"/>
      <c r="AH56" s="165">
        <f t="shared" si="1"/>
        <v>0</v>
      </c>
      <c r="AI56" s="234"/>
      <c r="AJ56" s="184"/>
      <c r="AK56" s="185"/>
      <c r="AN56" s="236">
        <v>416002400</v>
      </c>
    </row>
    <row r="57" spans="1:40">
      <c r="A57" s="187" t="s">
        <v>330</v>
      </c>
      <c r="B57" s="191"/>
      <c r="C57" s="175"/>
      <c r="D57" s="175"/>
      <c r="E57" s="175"/>
      <c r="F57" s="175"/>
      <c r="G57" s="175"/>
      <c r="H57" s="175"/>
      <c r="I57" s="175"/>
      <c r="J57" s="175"/>
      <c r="K57" s="236"/>
      <c r="L57" s="169"/>
      <c r="M57" s="169"/>
      <c r="N57" s="175"/>
      <c r="O57" s="175"/>
      <c r="P57" s="175"/>
      <c r="Q57" s="175"/>
      <c r="R57" s="175"/>
      <c r="S57" s="236"/>
      <c r="T57" s="236"/>
      <c r="U57" s="236"/>
      <c r="V57" s="236"/>
      <c r="W57" s="175"/>
      <c r="X57" s="236"/>
      <c r="Y57" s="236"/>
      <c r="Z57" s="236"/>
      <c r="AA57" s="236"/>
      <c r="AB57" s="236"/>
      <c r="AC57" s="236"/>
      <c r="AD57" s="175"/>
      <c r="AE57" s="236"/>
      <c r="AF57" s="236"/>
      <c r="AG57" s="236"/>
      <c r="AH57" s="165">
        <f t="shared" si="1"/>
        <v>0</v>
      </c>
      <c r="AI57" s="234">
        <f>SUM(AH54:AH57)</f>
        <v>33402690</v>
      </c>
      <c r="AJ57" s="184"/>
      <c r="AK57" s="185"/>
      <c r="AN57" s="175"/>
    </row>
    <row r="58" spans="1:40">
      <c r="A58" s="166" t="s">
        <v>24</v>
      </c>
      <c r="B58" s="191"/>
      <c r="C58" s="175"/>
      <c r="D58" s="175"/>
      <c r="E58" s="175"/>
      <c r="F58" s="170"/>
      <c r="G58" s="170"/>
      <c r="H58" s="170"/>
      <c r="I58" s="170"/>
      <c r="J58" s="170"/>
      <c r="K58" s="235"/>
      <c r="L58" s="235"/>
      <c r="M58" s="235"/>
      <c r="N58" s="170"/>
      <c r="O58" s="170"/>
      <c r="P58" s="170"/>
      <c r="Q58" s="170"/>
      <c r="R58" s="170"/>
      <c r="S58" s="170"/>
      <c r="T58" s="170"/>
      <c r="U58" s="170"/>
      <c r="V58" s="170"/>
      <c r="W58" s="175"/>
      <c r="X58" s="170"/>
      <c r="Y58" s="175"/>
      <c r="Z58" s="175"/>
      <c r="AA58" s="175"/>
      <c r="AB58" s="175"/>
      <c r="AC58" s="175"/>
      <c r="AD58" s="175"/>
      <c r="AE58" s="175"/>
      <c r="AF58" s="175"/>
      <c r="AG58" s="175"/>
      <c r="AH58" s="165">
        <f t="shared" si="1"/>
        <v>0</v>
      </c>
      <c r="AI58" s="235"/>
      <c r="AJ58" s="189"/>
      <c r="AN58" s="175"/>
    </row>
    <row r="59" spans="1:40">
      <c r="A59" s="166" t="s">
        <v>320</v>
      </c>
      <c r="B59" s="191"/>
      <c r="C59" s="175"/>
      <c r="D59" s="175"/>
      <c r="E59" s="175"/>
      <c r="F59" s="175"/>
      <c r="G59" s="175"/>
      <c r="H59" s="175"/>
      <c r="I59" s="175"/>
      <c r="J59" s="175"/>
      <c r="K59" s="234"/>
      <c r="L59" s="234"/>
      <c r="M59" s="234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65">
        <f t="shared" si="1"/>
        <v>0</v>
      </c>
      <c r="AI59" s="234"/>
      <c r="AN59" s="175"/>
    </row>
    <row r="60" spans="1:40">
      <c r="A60" s="166" t="s">
        <v>331</v>
      </c>
      <c r="B60" s="191"/>
      <c r="C60" s="175"/>
      <c r="D60" s="175"/>
      <c r="E60" s="172">
        <v>257152539</v>
      </c>
      <c r="F60" s="175"/>
      <c r="G60" s="175"/>
      <c r="H60" s="175"/>
      <c r="I60" s="175"/>
      <c r="J60" s="175"/>
      <c r="K60" s="234"/>
      <c r="L60" s="234"/>
      <c r="M60" s="234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65">
        <f t="shared" si="1"/>
        <v>257152539</v>
      </c>
      <c r="AI60" s="234"/>
      <c r="AJ60" s="184"/>
      <c r="AK60" s="185"/>
      <c r="AN60" s="175"/>
    </row>
    <row r="61" spans="1:40">
      <c r="A61" s="166" t="s">
        <v>425</v>
      </c>
      <c r="B61" s="191"/>
      <c r="C61" s="175"/>
      <c r="D61" s="175"/>
      <c r="E61" s="172"/>
      <c r="F61" s="175"/>
      <c r="G61" s="175"/>
      <c r="H61" s="175"/>
      <c r="I61" s="175"/>
      <c r="J61" s="175"/>
      <c r="K61" s="234"/>
      <c r="L61" s="234"/>
      <c r="M61" s="234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2">
        <v>3387791</v>
      </c>
      <c r="AB61" s="175"/>
      <c r="AC61" s="175"/>
      <c r="AD61" s="175"/>
      <c r="AE61" s="175"/>
      <c r="AF61" s="175"/>
      <c r="AG61" s="175"/>
      <c r="AH61" s="165"/>
      <c r="AI61" s="234"/>
      <c r="AJ61" s="184"/>
      <c r="AK61" s="185"/>
      <c r="AN61" s="175"/>
    </row>
    <row r="62" spans="1:40">
      <c r="A62" s="166" t="s">
        <v>379</v>
      </c>
      <c r="B62" s="191"/>
      <c r="C62" s="175"/>
      <c r="D62" s="175"/>
      <c r="E62" s="175"/>
      <c r="F62" s="175"/>
      <c r="G62" s="175"/>
      <c r="H62" s="175"/>
      <c r="I62" s="175"/>
      <c r="J62" s="175"/>
      <c r="K62" s="236"/>
      <c r="L62" s="169"/>
      <c r="M62" s="176">
        <v>486202796</v>
      </c>
      <c r="N62" s="175"/>
      <c r="O62" s="175"/>
      <c r="P62" s="175"/>
      <c r="Q62" s="175"/>
      <c r="R62" s="170"/>
      <c r="S62" s="170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65">
        <f t="shared" si="1"/>
        <v>486202796</v>
      </c>
      <c r="AI62" s="234"/>
      <c r="AJ62" s="189"/>
      <c r="AN62" s="175"/>
    </row>
    <row r="63" spans="1:40">
      <c r="A63" s="166" t="s">
        <v>379</v>
      </c>
      <c r="B63" s="191"/>
      <c r="C63" s="175"/>
      <c r="D63" s="175"/>
      <c r="E63" s="175"/>
      <c r="F63" s="175"/>
      <c r="G63" s="175"/>
      <c r="H63" s="175"/>
      <c r="I63" s="175"/>
      <c r="J63" s="175"/>
      <c r="K63" s="236"/>
      <c r="L63" s="169"/>
      <c r="M63" s="176"/>
      <c r="N63" s="175"/>
      <c r="O63" s="175"/>
      <c r="P63" s="175"/>
      <c r="Q63" s="175"/>
      <c r="R63" s="172"/>
      <c r="S63" s="172">
        <v>440805187</v>
      </c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65"/>
      <c r="AI63" s="234"/>
      <c r="AJ63" s="189"/>
      <c r="AN63" s="175"/>
    </row>
    <row r="64" spans="1:40">
      <c r="A64" s="166" t="s">
        <v>381</v>
      </c>
      <c r="B64" s="191"/>
      <c r="C64" s="175"/>
      <c r="D64" s="175"/>
      <c r="E64" s="175"/>
      <c r="F64" s="175"/>
      <c r="G64" s="175"/>
      <c r="H64" s="175"/>
      <c r="I64" s="175"/>
      <c r="J64" s="175"/>
      <c r="K64" s="236"/>
      <c r="L64" s="169"/>
      <c r="M64" s="169"/>
      <c r="N64" s="175"/>
      <c r="O64" s="175"/>
      <c r="P64" s="175"/>
      <c r="Q64" s="175"/>
      <c r="R64" s="172"/>
      <c r="S64" s="172">
        <v>704893662</v>
      </c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65">
        <f t="shared" si="1"/>
        <v>704893662</v>
      </c>
      <c r="AI64" s="234"/>
      <c r="AJ64" s="189"/>
      <c r="AN64" s="175"/>
    </row>
    <row r="65" spans="1:40">
      <c r="A65" s="166" t="s">
        <v>382</v>
      </c>
      <c r="B65" s="191"/>
      <c r="C65" s="175"/>
      <c r="D65" s="175"/>
      <c r="E65" s="175"/>
      <c r="F65" s="175"/>
      <c r="G65" s="175"/>
      <c r="H65" s="175"/>
      <c r="I65" s="175"/>
      <c r="J65" s="175"/>
      <c r="K65" s="236"/>
      <c r="L65" s="169"/>
      <c r="M65" s="169"/>
      <c r="N65" s="175"/>
      <c r="O65" s="175"/>
      <c r="P65" s="175"/>
      <c r="Q65" s="175"/>
      <c r="R65" s="175"/>
      <c r="S65" s="236"/>
      <c r="T65" s="236"/>
      <c r="U65" s="236"/>
      <c r="V65" s="236"/>
      <c r="W65" s="175"/>
      <c r="X65" s="172">
        <v>166383008</v>
      </c>
      <c r="Y65" s="175"/>
      <c r="Z65" s="175"/>
      <c r="AA65" s="175"/>
      <c r="AB65" s="175"/>
      <c r="AC65" s="175"/>
      <c r="AD65" s="175"/>
      <c r="AE65" s="175"/>
      <c r="AF65" s="175"/>
      <c r="AG65" s="175"/>
      <c r="AH65" s="165">
        <f t="shared" si="1"/>
        <v>166383008</v>
      </c>
      <c r="AI65" s="234"/>
      <c r="AJ65" s="189"/>
      <c r="AN65" s="236">
        <v>395623327</v>
      </c>
    </row>
    <row r="66" spans="1:40">
      <c r="A66" s="166" t="s">
        <v>378</v>
      </c>
      <c r="B66" s="191"/>
      <c r="C66" s="175"/>
      <c r="D66" s="175"/>
      <c r="E66" s="175"/>
      <c r="F66" s="175"/>
      <c r="G66" s="175"/>
      <c r="H66" s="175"/>
      <c r="I66" s="175"/>
      <c r="J66" s="175"/>
      <c r="K66" s="236"/>
      <c r="L66" s="169"/>
      <c r="M66" s="169"/>
      <c r="N66" s="175"/>
      <c r="O66" s="175"/>
      <c r="P66" s="175"/>
      <c r="Q66" s="175"/>
      <c r="R66" s="175"/>
      <c r="S66" s="236"/>
      <c r="T66" s="236"/>
      <c r="U66" s="236"/>
      <c r="V66" s="236"/>
      <c r="W66" s="175"/>
      <c r="X66" s="236"/>
      <c r="Y66" s="236"/>
      <c r="Z66" s="236"/>
      <c r="AA66" s="236"/>
      <c r="AB66" s="236"/>
      <c r="AC66" s="236"/>
      <c r="AD66" s="175"/>
      <c r="AE66" s="236"/>
      <c r="AF66" s="236"/>
      <c r="AG66" s="236"/>
      <c r="AH66" s="165">
        <f t="shared" si="1"/>
        <v>0</v>
      </c>
      <c r="AI66" s="234"/>
      <c r="AJ66" s="189"/>
      <c r="AN66" s="175">
        <v>2145110940</v>
      </c>
    </row>
    <row r="67" spans="1:40">
      <c r="A67" s="166" t="s">
        <v>378</v>
      </c>
      <c r="B67" s="191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65">
        <f t="shared" si="1"/>
        <v>0</v>
      </c>
      <c r="AI67" s="234"/>
      <c r="AJ67" s="189"/>
      <c r="AN67" s="175">
        <v>320710708</v>
      </c>
    </row>
    <row r="68" spans="1:40">
      <c r="A68" s="166" t="s">
        <v>380</v>
      </c>
      <c r="B68" s="191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65">
        <f t="shared" si="1"/>
        <v>0</v>
      </c>
      <c r="AI68" s="234">
        <f>SUM(AH62:AH68)</f>
        <v>1357479466</v>
      </c>
      <c r="AJ68" s="189"/>
      <c r="AN68" s="175"/>
    </row>
    <row r="69" spans="1:40">
      <c r="A69" s="166" t="s">
        <v>362</v>
      </c>
      <c r="B69" s="191"/>
      <c r="C69" s="175"/>
      <c r="D69" s="175"/>
      <c r="E69" s="175"/>
      <c r="F69" s="175"/>
      <c r="G69" s="175"/>
      <c r="H69" s="175"/>
      <c r="I69" s="172"/>
      <c r="J69" s="175"/>
      <c r="K69" s="236"/>
      <c r="L69" s="169"/>
      <c r="M69" s="169"/>
      <c r="N69" s="175"/>
      <c r="O69" s="175"/>
      <c r="P69" s="175"/>
      <c r="Q69" s="175"/>
      <c r="R69" s="172"/>
      <c r="S69" s="172">
        <v>286729862</v>
      </c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65"/>
      <c r="AI69" s="234"/>
      <c r="AJ69" s="189"/>
      <c r="AN69" s="175"/>
    </row>
    <row r="70" spans="1:40">
      <c r="A70" s="166" t="s">
        <v>386</v>
      </c>
      <c r="B70" s="191"/>
      <c r="C70" s="175"/>
      <c r="D70" s="175"/>
      <c r="E70" s="175"/>
      <c r="F70" s="175"/>
      <c r="G70" s="175"/>
      <c r="H70" s="175"/>
      <c r="I70" s="172"/>
      <c r="J70" s="175"/>
      <c r="K70" s="175"/>
      <c r="L70" s="175"/>
      <c r="M70" s="175"/>
      <c r="N70" s="175"/>
      <c r="O70" s="175"/>
      <c r="P70" s="175"/>
      <c r="Q70" s="175"/>
      <c r="R70" s="172"/>
      <c r="S70" s="172">
        <v>965365171</v>
      </c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65"/>
      <c r="AI70" s="234"/>
      <c r="AJ70" s="189"/>
      <c r="AN70" s="175"/>
    </row>
    <row r="71" spans="1:40">
      <c r="A71" s="166" t="s">
        <v>387</v>
      </c>
      <c r="B71" s="191"/>
      <c r="C71" s="175"/>
      <c r="D71" s="175"/>
      <c r="E71" s="175"/>
      <c r="F71" s="175"/>
      <c r="G71" s="175"/>
      <c r="H71" s="175"/>
      <c r="I71" s="172"/>
      <c r="J71" s="175"/>
      <c r="K71" s="175"/>
      <c r="L71" s="175"/>
      <c r="M71" s="175"/>
      <c r="N71" s="175"/>
      <c r="O71" s="175"/>
      <c r="P71" s="175"/>
      <c r="Q71" s="175"/>
      <c r="R71" s="172"/>
      <c r="S71" s="172">
        <v>114983481</v>
      </c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65"/>
      <c r="AI71" s="234"/>
      <c r="AJ71" s="189"/>
      <c r="AN71" s="175"/>
    </row>
    <row r="72" spans="1:40">
      <c r="A72" s="166" t="s">
        <v>402</v>
      </c>
      <c r="B72" s="191"/>
      <c r="C72" s="175"/>
      <c r="D72" s="175"/>
      <c r="E72" s="175"/>
      <c r="F72" s="175"/>
      <c r="G72" s="175"/>
      <c r="H72" s="175"/>
      <c r="I72" s="172"/>
      <c r="J72" s="175"/>
      <c r="K72" s="175"/>
      <c r="L72" s="175"/>
      <c r="M72" s="175"/>
      <c r="N72" s="175"/>
      <c r="O72" s="175"/>
      <c r="P72" s="175"/>
      <c r="Q72" s="175"/>
      <c r="R72" s="172"/>
      <c r="S72" s="172">
        <v>439111102</v>
      </c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65"/>
      <c r="AI72" s="234"/>
      <c r="AJ72" s="189"/>
      <c r="AN72" s="175"/>
    </row>
    <row r="73" spans="1:40">
      <c r="A73" s="166" t="s">
        <v>402</v>
      </c>
      <c r="B73" s="191"/>
      <c r="C73" s="175"/>
      <c r="D73" s="175"/>
      <c r="E73" s="175"/>
      <c r="F73" s="175"/>
      <c r="G73" s="175"/>
      <c r="H73" s="175"/>
      <c r="I73" s="172"/>
      <c r="J73" s="175"/>
      <c r="K73" s="175"/>
      <c r="L73" s="175"/>
      <c r="M73" s="175"/>
      <c r="N73" s="175"/>
      <c r="O73" s="175"/>
      <c r="P73" s="175"/>
      <c r="Q73" s="175"/>
      <c r="R73" s="172"/>
      <c r="S73" s="172"/>
      <c r="T73" s="175"/>
      <c r="U73" s="175"/>
      <c r="V73" s="175"/>
      <c r="W73" s="175"/>
      <c r="X73" s="172">
        <f>38731880+108408300</f>
        <v>147140180</v>
      </c>
      <c r="Y73" s="175"/>
      <c r="Z73" s="175"/>
      <c r="AA73" s="175"/>
      <c r="AB73" s="175"/>
      <c r="AC73" s="175"/>
      <c r="AD73" s="175"/>
      <c r="AE73" s="175"/>
      <c r="AF73" s="175"/>
      <c r="AG73" s="175"/>
      <c r="AH73" s="165"/>
      <c r="AI73" s="234"/>
      <c r="AJ73" s="189"/>
      <c r="AN73" s="236">
        <v>581705983</v>
      </c>
    </row>
    <row r="74" spans="1:40">
      <c r="A74" s="166" t="s">
        <v>402</v>
      </c>
      <c r="B74" s="191"/>
      <c r="C74" s="175"/>
      <c r="D74" s="175"/>
      <c r="E74" s="175"/>
      <c r="F74" s="175"/>
      <c r="G74" s="175"/>
      <c r="H74" s="175"/>
      <c r="I74" s="172"/>
      <c r="J74" s="175"/>
      <c r="K74" s="236"/>
      <c r="L74" s="169"/>
      <c r="M74" s="175"/>
      <c r="N74" s="175"/>
      <c r="O74" s="175"/>
      <c r="P74" s="175"/>
      <c r="Q74" s="175"/>
      <c r="R74" s="175"/>
      <c r="S74" s="236"/>
      <c r="T74" s="236"/>
      <c r="U74" s="236"/>
      <c r="V74" s="236"/>
      <c r="W74" s="175"/>
      <c r="X74" s="236"/>
      <c r="Y74" s="236"/>
      <c r="Z74" s="236"/>
      <c r="AA74" s="236"/>
      <c r="AB74" s="236"/>
      <c r="AC74" s="236"/>
      <c r="AD74" s="175"/>
      <c r="AE74" s="236"/>
      <c r="AF74" s="236"/>
      <c r="AG74" s="236"/>
      <c r="AH74" s="165"/>
      <c r="AI74" s="234"/>
      <c r="AJ74" s="189"/>
      <c r="AN74" s="238"/>
    </row>
    <row r="75" spans="1:40">
      <c r="A75" s="166" t="s">
        <v>402</v>
      </c>
      <c r="B75" s="191"/>
      <c r="C75" s="175"/>
      <c r="D75" s="175"/>
      <c r="E75" s="175"/>
      <c r="F75" s="175"/>
      <c r="G75" s="175"/>
      <c r="H75" s="175"/>
      <c r="I75" s="172"/>
      <c r="J75" s="175"/>
      <c r="K75" s="236"/>
      <c r="L75" s="169"/>
      <c r="M75" s="175"/>
      <c r="N75" s="175"/>
      <c r="O75" s="175"/>
      <c r="P75" s="175"/>
      <c r="Q75" s="175"/>
      <c r="R75" s="175"/>
      <c r="S75" s="236"/>
      <c r="T75" s="236"/>
      <c r="U75" s="236"/>
      <c r="V75" s="236"/>
      <c r="W75" s="175"/>
      <c r="X75" s="236"/>
      <c r="Y75" s="236"/>
      <c r="Z75" s="236"/>
      <c r="AA75" s="172">
        <v>466083736</v>
      </c>
      <c r="AB75" s="238"/>
      <c r="AC75" s="238"/>
      <c r="AD75" s="175"/>
      <c r="AE75" s="238"/>
      <c r="AF75" s="238"/>
      <c r="AG75" s="238"/>
      <c r="AH75" s="165"/>
      <c r="AI75" s="234">
        <f>SUM(AH69:AH75)</f>
        <v>0</v>
      </c>
      <c r="AJ75" s="189"/>
      <c r="AN75" s="237">
        <v>61003007</v>
      </c>
    </row>
    <row r="76" spans="1:40">
      <c r="A76" s="166" t="s">
        <v>333</v>
      </c>
      <c r="B76" s="191"/>
      <c r="C76" s="167"/>
      <c r="D76" s="167"/>
      <c r="E76" s="167"/>
      <c r="F76" s="167"/>
      <c r="G76" s="167"/>
      <c r="H76" s="167"/>
      <c r="I76" s="167"/>
      <c r="J76" s="167"/>
      <c r="K76" s="237"/>
      <c r="L76" s="169"/>
      <c r="M76" s="167"/>
      <c r="N76" s="167"/>
      <c r="O76" s="167"/>
      <c r="P76" s="167"/>
      <c r="Q76" s="167"/>
      <c r="R76" s="167"/>
      <c r="S76" s="237"/>
      <c r="T76" s="237"/>
      <c r="U76" s="237"/>
      <c r="V76" s="237"/>
      <c r="W76" s="167"/>
      <c r="X76" s="237"/>
      <c r="Y76" s="237"/>
      <c r="Z76" s="237"/>
      <c r="AA76" s="237"/>
      <c r="AB76" s="237"/>
      <c r="AC76" s="237"/>
      <c r="AD76" s="167"/>
      <c r="AE76" s="237"/>
      <c r="AF76" s="237"/>
      <c r="AG76" s="237"/>
      <c r="AH76" s="165">
        <f t="shared" si="1"/>
        <v>0</v>
      </c>
      <c r="AI76" s="233"/>
      <c r="AN76" s="237">
        <f>127319117+12869993</f>
        <v>140189110</v>
      </c>
    </row>
    <row r="77" spans="1:40">
      <c r="A77" s="166" t="s">
        <v>334</v>
      </c>
      <c r="B77" s="191"/>
      <c r="C77" s="167"/>
      <c r="D77" s="167"/>
      <c r="E77" s="167"/>
      <c r="F77" s="167"/>
      <c r="G77" s="167"/>
      <c r="H77" s="167"/>
      <c r="I77" s="167"/>
      <c r="J77" s="167"/>
      <c r="K77" s="237"/>
      <c r="L77" s="169"/>
      <c r="M77" s="167"/>
      <c r="N77" s="167"/>
      <c r="O77" s="167"/>
      <c r="P77" s="167"/>
      <c r="Q77" s="167"/>
      <c r="R77" s="167"/>
      <c r="S77" s="237"/>
      <c r="T77" s="237"/>
      <c r="U77" s="237"/>
      <c r="V77" s="237"/>
      <c r="W77" s="167"/>
      <c r="X77" s="237"/>
      <c r="Y77" s="237"/>
      <c r="Z77" s="237"/>
      <c r="AA77" s="237"/>
      <c r="AB77" s="237"/>
      <c r="AC77" s="237"/>
      <c r="AD77" s="167"/>
      <c r="AE77" s="237"/>
      <c r="AF77" s="237"/>
      <c r="AG77" s="237"/>
      <c r="AH77" s="165">
        <f t="shared" si="1"/>
        <v>0</v>
      </c>
      <c r="AI77" s="233"/>
      <c r="AN77" s="237">
        <v>149745116</v>
      </c>
    </row>
    <row r="78" spans="1:40">
      <c r="A78" s="166" t="s">
        <v>335</v>
      </c>
      <c r="B78" s="191"/>
      <c r="C78" s="167"/>
      <c r="D78" s="167"/>
      <c r="E78" s="167"/>
      <c r="F78" s="167"/>
      <c r="G78" s="167"/>
      <c r="H78" s="167"/>
      <c r="I78" s="167"/>
      <c r="J78" s="167"/>
      <c r="K78" s="237"/>
      <c r="L78" s="169"/>
      <c r="M78" s="167"/>
      <c r="N78" s="167"/>
      <c r="O78" s="167"/>
      <c r="P78" s="167"/>
      <c r="Q78" s="167"/>
      <c r="R78" s="167"/>
      <c r="S78" s="237"/>
      <c r="T78" s="237"/>
      <c r="U78" s="237"/>
      <c r="V78" s="237"/>
      <c r="W78" s="175"/>
      <c r="X78" s="237"/>
      <c r="Y78" s="237"/>
      <c r="Z78" s="237"/>
      <c r="AA78" s="237"/>
      <c r="AB78" s="237"/>
      <c r="AC78" s="237"/>
      <c r="AD78" s="167"/>
      <c r="AE78" s="237"/>
      <c r="AF78" s="237"/>
      <c r="AG78" s="237"/>
      <c r="AH78" s="165">
        <f t="shared" si="1"/>
        <v>0</v>
      </c>
      <c r="AI78" s="233"/>
      <c r="AJ78" s="189"/>
      <c r="AN78" s="237">
        <f>16444991+3574998+10724994</f>
        <v>30744983</v>
      </c>
    </row>
    <row r="79" spans="1:40">
      <c r="A79" s="166" t="s">
        <v>336</v>
      </c>
      <c r="B79" s="191"/>
      <c r="C79" s="167"/>
      <c r="D79" s="167"/>
      <c r="E79" s="167"/>
      <c r="F79" s="167"/>
      <c r="G79" s="167"/>
      <c r="H79" s="167"/>
      <c r="I79" s="167"/>
      <c r="J79" s="167"/>
      <c r="K79" s="237"/>
      <c r="L79" s="169"/>
      <c r="M79" s="167"/>
      <c r="N79" s="167"/>
      <c r="O79" s="167"/>
      <c r="P79" s="167"/>
      <c r="Q79" s="167"/>
      <c r="R79" s="167"/>
      <c r="S79" s="237"/>
      <c r="T79" s="237"/>
      <c r="U79" s="237"/>
      <c r="V79" s="237"/>
      <c r="W79" s="167"/>
      <c r="X79" s="237"/>
      <c r="Y79" s="237"/>
      <c r="Z79" s="237"/>
      <c r="AA79" s="237"/>
      <c r="AB79" s="237"/>
      <c r="AC79" s="237"/>
      <c r="AD79" s="167"/>
      <c r="AE79" s="237"/>
      <c r="AF79" s="237"/>
      <c r="AG79" s="237"/>
      <c r="AH79" s="165">
        <f t="shared" si="1"/>
        <v>0</v>
      </c>
      <c r="AI79" s="233">
        <f>SUM(AH76:AH79)</f>
        <v>0</v>
      </c>
      <c r="AN79" s="167"/>
    </row>
    <row r="80" spans="1:40">
      <c r="A80" s="166" t="s">
        <v>337</v>
      </c>
      <c r="B80" s="191"/>
      <c r="C80" s="167"/>
      <c r="D80" s="167"/>
      <c r="E80" s="167"/>
      <c r="F80" s="167"/>
      <c r="G80" s="167"/>
      <c r="H80" s="167"/>
      <c r="I80" s="167"/>
      <c r="J80" s="167"/>
      <c r="K80" s="233"/>
      <c r="L80" s="168">
        <v>320571720</v>
      </c>
      <c r="M80" s="167"/>
      <c r="N80" s="167"/>
      <c r="O80" s="167"/>
      <c r="P80" s="168"/>
      <c r="Q80" s="167"/>
      <c r="R80" s="167"/>
      <c r="S80" s="168">
        <v>256820760</v>
      </c>
      <c r="T80" s="168"/>
      <c r="U80" s="168">
        <v>64068480</v>
      </c>
      <c r="V80" s="168"/>
      <c r="W80" s="167"/>
      <c r="X80" s="168">
        <v>128278080</v>
      </c>
      <c r="Y80" s="167"/>
      <c r="Z80" s="168">
        <v>128101680</v>
      </c>
      <c r="AA80" s="167"/>
      <c r="AB80" s="167"/>
      <c r="AC80" s="167"/>
      <c r="AD80" s="167"/>
      <c r="AE80" s="167"/>
      <c r="AF80" s="167"/>
      <c r="AG80" s="167"/>
      <c r="AH80" s="165">
        <f t="shared" si="1"/>
        <v>897840720</v>
      </c>
      <c r="AI80" s="233"/>
      <c r="AN80" s="168"/>
    </row>
    <row r="81" spans="1:40">
      <c r="A81" s="166" t="s">
        <v>27</v>
      </c>
      <c r="B81" s="191"/>
      <c r="C81" s="172"/>
      <c r="D81" s="172"/>
      <c r="E81" s="172"/>
      <c r="F81" s="172"/>
      <c r="G81" s="172"/>
      <c r="H81" s="172"/>
      <c r="I81" s="167"/>
      <c r="J81" s="172"/>
      <c r="K81" s="233"/>
      <c r="L81" s="167"/>
      <c r="M81" s="167"/>
      <c r="N81" s="167"/>
      <c r="O81" s="167"/>
      <c r="P81" s="170"/>
      <c r="Q81" s="167"/>
      <c r="R81" s="168"/>
      <c r="S81" s="168"/>
      <c r="T81" s="171"/>
      <c r="U81" s="167"/>
      <c r="V81" s="167"/>
      <c r="W81" s="168"/>
      <c r="X81" s="168">
        <v>202215000</v>
      </c>
      <c r="Y81" s="168"/>
      <c r="Z81" s="168"/>
      <c r="AA81" s="168"/>
      <c r="AB81" s="168"/>
      <c r="AC81" s="168"/>
      <c r="AD81" s="175"/>
      <c r="AE81" s="168"/>
      <c r="AF81" s="168"/>
      <c r="AG81" s="168"/>
      <c r="AH81" s="165">
        <f t="shared" si="1"/>
        <v>202215000</v>
      </c>
      <c r="AI81" s="233"/>
      <c r="AN81" s="168"/>
    </row>
    <row r="82" spans="1:40">
      <c r="A82" s="166" t="s">
        <v>403</v>
      </c>
      <c r="B82" s="191"/>
      <c r="C82" s="172"/>
      <c r="D82" s="172"/>
      <c r="E82" s="172"/>
      <c r="F82" s="172"/>
      <c r="G82" s="172"/>
      <c r="H82" s="172"/>
      <c r="I82" s="167"/>
      <c r="J82" s="172"/>
      <c r="K82" s="233">
        <v>131261875</v>
      </c>
      <c r="L82" s="167"/>
      <c r="M82" s="167"/>
      <c r="N82" s="167"/>
      <c r="O82" s="167"/>
      <c r="P82" s="170"/>
      <c r="Q82" s="167"/>
      <c r="R82" s="168"/>
      <c r="S82" s="168"/>
      <c r="T82" s="171"/>
      <c r="U82" s="167"/>
      <c r="V82" s="167"/>
      <c r="W82" s="168"/>
      <c r="X82" s="167"/>
      <c r="Y82" s="168"/>
      <c r="Z82" s="168"/>
      <c r="AA82" s="168"/>
      <c r="AB82" s="168"/>
      <c r="AC82" s="168"/>
      <c r="AD82" s="175"/>
      <c r="AE82" s="168"/>
      <c r="AF82" s="168"/>
      <c r="AG82" s="168"/>
      <c r="AH82" s="165"/>
      <c r="AI82" s="233"/>
      <c r="AN82" s="167"/>
    </row>
    <row r="83" spans="1:40">
      <c r="A83" s="187" t="s">
        <v>345</v>
      </c>
      <c r="B83" s="191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5">
        <f t="shared" si="1"/>
        <v>0</v>
      </c>
      <c r="AI83" s="233"/>
      <c r="AN83" s="167"/>
    </row>
    <row r="84" spans="1:40">
      <c r="A84" s="187" t="s">
        <v>346</v>
      </c>
      <c r="B84" s="191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5">
        <f t="shared" si="1"/>
        <v>0</v>
      </c>
      <c r="AI84" s="233"/>
      <c r="AN84" s="167">
        <v>167000000</v>
      </c>
    </row>
    <row r="85" spans="1:40">
      <c r="A85" s="187" t="s">
        <v>338</v>
      </c>
      <c r="B85" s="191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5">
        <f t="shared" si="1"/>
        <v>0</v>
      </c>
      <c r="AI85" s="233"/>
      <c r="AN85" s="167">
        <v>250500</v>
      </c>
    </row>
    <row r="86" spans="1:40">
      <c r="A86" s="187" t="s">
        <v>339</v>
      </c>
      <c r="B86" s="191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5">
        <f t="shared" si="1"/>
        <v>0</v>
      </c>
      <c r="AI86" s="233"/>
      <c r="AN86" s="167">
        <v>18300000</v>
      </c>
    </row>
    <row r="87" spans="1:40">
      <c r="A87" s="187" t="s">
        <v>340</v>
      </c>
      <c r="B87" s="191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5">
        <f t="shared" si="1"/>
        <v>0</v>
      </c>
      <c r="AI87" s="233"/>
      <c r="AN87" s="167">
        <v>6100000</v>
      </c>
    </row>
    <row r="88" spans="1:40">
      <c r="A88" s="187" t="s">
        <v>341</v>
      </c>
      <c r="B88" s="191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5">
        <f t="shared" si="1"/>
        <v>0</v>
      </c>
      <c r="AI88" s="233"/>
      <c r="AN88" s="167"/>
    </row>
    <row r="89" spans="1:40">
      <c r="A89" s="187" t="s">
        <v>406</v>
      </c>
      <c r="B89" s="191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8">
        <v>111907293</v>
      </c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5">
        <f t="shared" si="1"/>
        <v>111907293</v>
      </c>
      <c r="AI89" s="233"/>
      <c r="AN89" s="167"/>
    </row>
    <row r="90" spans="1:40">
      <c r="A90" s="187" t="s">
        <v>342</v>
      </c>
      <c r="B90" s="191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5">
        <f t="shared" si="1"/>
        <v>0</v>
      </c>
      <c r="AI90" s="233"/>
      <c r="AN90" s="167"/>
    </row>
    <row r="91" spans="1:40">
      <c r="A91" s="187" t="s">
        <v>343</v>
      </c>
      <c r="B91" s="191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5">
        <f t="shared" si="1"/>
        <v>0</v>
      </c>
      <c r="AI91" s="233"/>
      <c r="AN91" s="167"/>
    </row>
    <row r="92" spans="1:40">
      <c r="A92" s="187" t="s">
        <v>344</v>
      </c>
      <c r="B92" s="191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8"/>
      <c r="AB92" s="167"/>
      <c r="AC92" s="167"/>
      <c r="AD92" s="167"/>
      <c r="AE92" s="167"/>
      <c r="AF92" s="167"/>
      <c r="AG92" s="167"/>
      <c r="AH92" s="165">
        <f t="shared" si="1"/>
        <v>0</v>
      </c>
      <c r="AI92" s="233">
        <f>SUM(AH83:AH92)</f>
        <v>111907293</v>
      </c>
      <c r="AN92" s="170"/>
    </row>
    <row r="93" spans="1:40">
      <c r="A93" s="166" t="s">
        <v>30</v>
      </c>
      <c r="B93" s="191"/>
      <c r="C93" s="170"/>
      <c r="D93" s="170"/>
      <c r="E93" s="170"/>
      <c r="F93" s="170"/>
      <c r="G93" s="170"/>
      <c r="H93" s="170"/>
      <c r="I93" s="171"/>
      <c r="J93" s="170"/>
      <c r="K93" s="170"/>
      <c r="L93" s="170"/>
      <c r="M93" s="170"/>
      <c r="N93" s="170"/>
      <c r="O93" s="170"/>
      <c r="P93" s="167"/>
      <c r="Q93" s="170"/>
      <c r="R93" s="170"/>
      <c r="S93" s="170"/>
      <c r="T93" s="167"/>
      <c r="U93" s="167"/>
      <c r="V93" s="167"/>
      <c r="W93" s="167"/>
      <c r="X93" s="167"/>
      <c r="Y93" s="167"/>
      <c r="Z93" s="168"/>
      <c r="AA93" s="168"/>
      <c r="AB93" s="167"/>
      <c r="AC93" s="167"/>
      <c r="AD93" s="167"/>
      <c r="AE93" s="167"/>
      <c r="AF93" s="167"/>
      <c r="AG93" s="170"/>
      <c r="AH93" s="165">
        <f t="shared" si="1"/>
        <v>0</v>
      </c>
      <c r="AI93" s="170"/>
      <c r="AN93" s="170"/>
    </row>
    <row r="94" spans="1:40">
      <c r="A94" s="166" t="s">
        <v>347</v>
      </c>
      <c r="B94" s="191"/>
      <c r="C94" s="170"/>
      <c r="D94" s="170"/>
      <c r="E94" s="170"/>
      <c r="F94" s="170"/>
      <c r="G94" s="170"/>
      <c r="H94" s="170"/>
      <c r="I94" s="171"/>
      <c r="J94" s="170"/>
      <c r="K94" s="170"/>
      <c r="L94" s="170"/>
      <c r="M94" s="170"/>
      <c r="N94" s="170"/>
      <c r="O94" s="170"/>
      <c r="P94" s="167"/>
      <c r="Q94" s="170"/>
      <c r="R94" s="170"/>
      <c r="S94" s="171"/>
      <c r="T94" s="167"/>
      <c r="U94" s="168"/>
      <c r="V94" s="168"/>
      <c r="W94" s="167"/>
      <c r="X94" s="168"/>
      <c r="Y94" s="167"/>
      <c r="Z94" s="168">
        <f>90719750-10826191</f>
        <v>79893559</v>
      </c>
      <c r="AA94" s="168">
        <v>90719750</v>
      </c>
      <c r="AB94" s="167"/>
      <c r="AC94" s="167"/>
      <c r="AD94" s="167"/>
      <c r="AE94" s="167"/>
      <c r="AF94" s="167"/>
      <c r="AG94" s="170"/>
      <c r="AH94" s="165">
        <f t="shared" si="1"/>
        <v>170613309</v>
      </c>
      <c r="AI94" s="170"/>
      <c r="AN94" s="168"/>
    </row>
    <row r="95" spans="1:40">
      <c r="A95" s="192" t="s">
        <v>46</v>
      </c>
      <c r="B95" s="191"/>
      <c r="C95" s="171"/>
      <c r="D95" s="171"/>
      <c r="E95" s="171"/>
      <c r="F95" s="171"/>
      <c r="G95" s="171"/>
      <c r="H95" s="171"/>
      <c r="I95" s="172"/>
      <c r="J95" s="171"/>
      <c r="K95" s="167"/>
      <c r="L95" s="167"/>
      <c r="M95" s="167"/>
      <c r="N95" s="168"/>
      <c r="O95" s="168"/>
      <c r="P95" s="168"/>
      <c r="Q95" s="168"/>
      <c r="R95" s="170"/>
      <c r="S95" s="171">
        <v>437824</v>
      </c>
      <c r="T95" s="168">
        <v>490797282</v>
      </c>
      <c r="U95" s="168"/>
      <c r="V95" s="168"/>
      <c r="W95" s="168"/>
      <c r="X95" s="168"/>
      <c r="Y95" s="168"/>
      <c r="Z95" s="168">
        <v>2500000</v>
      </c>
      <c r="AA95" s="168"/>
      <c r="AB95" s="168">
        <v>35000000</v>
      </c>
      <c r="AC95" s="168"/>
      <c r="AD95" s="168"/>
      <c r="AE95" s="168"/>
      <c r="AF95" s="168">
        <v>17070000</v>
      </c>
      <c r="AG95" s="168"/>
      <c r="AH95" s="165">
        <f t="shared" si="1"/>
        <v>545805106</v>
      </c>
      <c r="AI95" s="167"/>
      <c r="AN95" s="168"/>
    </row>
    <row r="96" spans="1:40">
      <c r="A96" s="192" t="s">
        <v>47</v>
      </c>
      <c r="B96" s="191"/>
      <c r="C96" s="168"/>
      <c r="D96" s="168"/>
      <c r="E96" s="168"/>
      <c r="F96" s="168"/>
      <c r="G96" s="168"/>
      <c r="H96" s="168"/>
      <c r="I96" s="175"/>
      <c r="J96" s="168"/>
      <c r="K96" s="167"/>
      <c r="L96" s="167"/>
      <c r="M96" s="167"/>
      <c r="N96" s="167"/>
      <c r="O96" s="167"/>
      <c r="P96" s="167"/>
      <c r="Q96" s="167"/>
      <c r="R96" s="170"/>
      <c r="S96" s="171">
        <f>2650000+4000000+3225000</f>
        <v>9875000</v>
      </c>
      <c r="T96" s="168"/>
      <c r="U96" s="168"/>
      <c r="V96" s="168"/>
      <c r="W96" s="167"/>
      <c r="X96" s="168"/>
      <c r="Y96" s="168"/>
      <c r="Z96" s="168">
        <v>96987011</v>
      </c>
      <c r="AA96" s="168"/>
      <c r="AB96" s="168"/>
      <c r="AC96" s="168"/>
      <c r="AD96" s="168"/>
      <c r="AE96" s="168"/>
      <c r="AF96" s="168"/>
      <c r="AG96" s="168"/>
      <c r="AH96" s="165">
        <f t="shared" si="1"/>
        <v>106862011</v>
      </c>
      <c r="AI96" s="167"/>
      <c r="AN96" s="168"/>
    </row>
    <row r="97" spans="1:40">
      <c r="A97" s="192" t="s">
        <v>213</v>
      </c>
      <c r="B97" s="191"/>
      <c r="C97" s="168"/>
      <c r="D97" s="168"/>
      <c r="E97" s="168"/>
      <c r="F97" s="168"/>
      <c r="G97" s="168"/>
      <c r="H97" s="168"/>
      <c r="I97" s="175"/>
      <c r="J97" s="168">
        <v>750000000</v>
      </c>
      <c r="K97" s="167"/>
      <c r="L97" s="167"/>
      <c r="M97" s="167"/>
      <c r="N97" s="168"/>
      <c r="O97" s="168"/>
      <c r="P97" s="168"/>
      <c r="Q97" s="168">
        <v>750000000</v>
      </c>
      <c r="R97" s="171"/>
      <c r="S97" s="171"/>
      <c r="T97" s="168"/>
      <c r="U97" s="171"/>
      <c r="V97" s="171"/>
      <c r="W97" s="167"/>
      <c r="X97" s="171">
        <v>2000000000</v>
      </c>
      <c r="Y97" s="168"/>
      <c r="Z97" s="168"/>
      <c r="AA97" s="168"/>
      <c r="AB97" s="168"/>
      <c r="AC97" s="168"/>
      <c r="AD97" s="168"/>
      <c r="AE97" s="168">
        <v>350000000</v>
      </c>
      <c r="AF97" s="168"/>
      <c r="AG97" s="168"/>
      <c r="AH97" s="165">
        <f t="shared" si="1"/>
        <v>3850000000</v>
      </c>
      <c r="AI97" s="167"/>
      <c r="AN97" s="175">
        <v>3500000000</v>
      </c>
    </row>
    <row r="98" spans="1:40">
      <c r="A98" s="192" t="s">
        <v>119</v>
      </c>
      <c r="B98" s="191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65">
        <f t="shared" si="1"/>
        <v>0</v>
      </c>
      <c r="AI98" s="175"/>
    </row>
    <row r="99" spans="1:40">
      <c r="A99" s="195" t="s">
        <v>32</v>
      </c>
      <c r="B99" s="196"/>
      <c r="C99" s="197">
        <f>SUM(C9:C98)</f>
        <v>86014912</v>
      </c>
      <c r="D99" s="197">
        <f>SUM(D7:D98)</f>
        <v>2624244480</v>
      </c>
      <c r="E99" s="197">
        <f>SUM(E9:E98)</f>
        <v>276692406</v>
      </c>
      <c r="F99" s="197">
        <f>SUM(F9:F98)</f>
        <v>0</v>
      </c>
      <c r="G99" s="197">
        <f>SUM(G7:G98)</f>
        <v>0</v>
      </c>
      <c r="H99" s="197">
        <f>SUM(H9:H98)</f>
        <v>0</v>
      </c>
      <c r="I99" s="197">
        <f>SUM(I9:I98)</f>
        <v>0</v>
      </c>
      <c r="J99" s="197">
        <f>SUM(J9:J98)</f>
        <v>1006634947</v>
      </c>
      <c r="K99" s="197">
        <f>SUM(K9:K98)</f>
        <v>556845006</v>
      </c>
      <c r="L99" s="197">
        <f>SUM(L7:L98)</f>
        <v>320571720</v>
      </c>
      <c r="M99" s="197">
        <f>SUM(M9:M98)</f>
        <v>761790517</v>
      </c>
      <c r="N99" s="197">
        <f>SUM(N9:N98)</f>
        <v>118397246</v>
      </c>
      <c r="O99" s="197">
        <f>SUM(O9:O98)</f>
        <v>0</v>
      </c>
      <c r="P99" s="197">
        <f>SUM(P9:P98)</f>
        <v>0</v>
      </c>
      <c r="Q99" s="197">
        <f t="shared" ref="Q99:AG99" si="2">SUM(Q7:Q98)</f>
        <v>1065738681</v>
      </c>
      <c r="R99" s="197">
        <f t="shared" si="2"/>
        <v>891529800</v>
      </c>
      <c r="S99" s="197">
        <f t="shared" si="2"/>
        <v>3219022049</v>
      </c>
      <c r="T99" s="197">
        <f t="shared" si="2"/>
        <v>541945390</v>
      </c>
      <c r="U99" s="197">
        <f t="shared" si="2"/>
        <v>198455403</v>
      </c>
      <c r="V99" s="197">
        <f t="shared" si="2"/>
        <v>0</v>
      </c>
      <c r="W99" s="197">
        <f t="shared" si="2"/>
        <v>0</v>
      </c>
      <c r="X99" s="197">
        <f>SUM(X7:X98)</f>
        <v>3036788475</v>
      </c>
      <c r="Y99" s="197">
        <f t="shared" si="2"/>
        <v>0</v>
      </c>
      <c r="Z99" s="197">
        <f t="shared" si="2"/>
        <v>318575624</v>
      </c>
      <c r="AA99" s="197">
        <f>SUM(AA7:AA98)</f>
        <v>725613646</v>
      </c>
      <c r="AB99" s="197">
        <f>SUM(AB7:AB98)</f>
        <v>99342960</v>
      </c>
      <c r="AC99" s="197">
        <f t="shared" si="2"/>
        <v>0</v>
      </c>
      <c r="AD99" s="197">
        <f t="shared" si="2"/>
        <v>0</v>
      </c>
      <c r="AE99" s="197">
        <f>SUM(AE7:AE98)</f>
        <v>721762290</v>
      </c>
      <c r="AF99" s="197">
        <f>SUM(AF7:AF98)</f>
        <v>3387568336</v>
      </c>
      <c r="AG99" s="197">
        <f t="shared" si="2"/>
        <v>0</v>
      </c>
      <c r="AH99" s="197">
        <f>SUM(AH7:AH98)</f>
        <v>16015246148</v>
      </c>
    </row>
    <row r="100" spans="1:40">
      <c r="A100" s="199"/>
      <c r="B100" s="162"/>
      <c r="C100" s="200"/>
      <c r="D100" s="200"/>
      <c r="E100" s="165"/>
      <c r="F100" s="165"/>
      <c r="G100" s="165"/>
      <c r="H100" s="165"/>
      <c r="I100" s="165"/>
      <c r="J100" s="200"/>
      <c r="K100" s="200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90">
        <v>0</v>
      </c>
      <c r="X100" s="190">
        <v>0</v>
      </c>
      <c r="Y100" s="190">
        <v>0</v>
      </c>
      <c r="Z100" s="190">
        <v>0</v>
      </c>
      <c r="AA100" s="190">
        <v>0</v>
      </c>
      <c r="AB100" s="190">
        <v>0</v>
      </c>
      <c r="AC100" s="165"/>
      <c r="AD100" s="165"/>
      <c r="AE100" s="165"/>
      <c r="AF100" s="165"/>
      <c r="AG100" s="165"/>
      <c r="AH100" s="201"/>
      <c r="AI100" s="154"/>
    </row>
    <row r="101" spans="1:40">
      <c r="A101" s="202" t="s">
        <v>33</v>
      </c>
      <c r="B101" s="162"/>
      <c r="C101" s="200"/>
      <c r="D101" s="200"/>
      <c r="E101" s="165"/>
      <c r="F101" s="165"/>
      <c r="G101" s="165"/>
      <c r="H101" s="165"/>
      <c r="I101" s="165"/>
      <c r="J101" s="200"/>
      <c r="K101" s="200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200"/>
      <c r="AB101" s="200"/>
      <c r="AC101" s="165"/>
      <c r="AD101" s="165"/>
      <c r="AE101" s="165"/>
      <c r="AF101" s="165"/>
      <c r="AG101" s="165"/>
      <c r="AH101" s="201">
        <f>SUM(B101:AG101)</f>
        <v>0</v>
      </c>
      <c r="AI101" s="154"/>
    </row>
    <row r="102" spans="1:40">
      <c r="A102" s="203" t="s">
        <v>34</v>
      </c>
      <c r="B102" s="204"/>
      <c r="C102" s="205"/>
      <c r="D102" s="200"/>
      <c r="E102" s="200"/>
      <c r="F102" s="200"/>
      <c r="G102" s="204"/>
      <c r="H102" s="204"/>
      <c r="I102" s="200"/>
      <c r="J102" s="200"/>
      <c r="K102" s="200"/>
      <c r="L102" s="200">
        <v>1583460721</v>
      </c>
      <c r="M102" s="200"/>
      <c r="N102" s="200"/>
      <c r="O102" s="206"/>
      <c r="P102" s="200"/>
      <c r="Q102" s="200"/>
      <c r="R102" s="200"/>
      <c r="S102" s="200"/>
      <c r="T102" s="200"/>
      <c r="U102" s="207"/>
      <c r="V102" s="204"/>
      <c r="W102" s="204"/>
      <c r="X102" s="200"/>
      <c r="Y102" s="200">
        <v>251207386</v>
      </c>
      <c r="Z102" s="200">
        <v>911072035</v>
      </c>
      <c r="AA102" s="200"/>
      <c r="AB102" s="200"/>
      <c r="AC102" s="204"/>
      <c r="AD102" s="200"/>
      <c r="AE102" s="200"/>
      <c r="AF102" s="205"/>
      <c r="AG102" s="204"/>
      <c r="AH102" s="201">
        <f>SUM(B102:AG102)</f>
        <v>2745740142</v>
      </c>
      <c r="AI102" s="173"/>
    </row>
    <row r="103" spans="1:40">
      <c r="A103" s="203" t="s">
        <v>198</v>
      </c>
      <c r="B103" s="204"/>
      <c r="C103" s="205"/>
      <c r="D103" s="200"/>
      <c r="E103" s="205"/>
      <c r="F103" s="200"/>
      <c r="G103" s="204"/>
      <c r="H103" s="204"/>
      <c r="I103" s="200"/>
      <c r="J103" s="200"/>
      <c r="K103" s="200"/>
      <c r="L103" s="200">
        <v>10160540</v>
      </c>
      <c r="M103" s="200"/>
      <c r="N103" s="200"/>
      <c r="O103" s="206"/>
      <c r="P103" s="200"/>
      <c r="Q103" s="200"/>
      <c r="R103" s="200"/>
      <c r="S103" s="200"/>
      <c r="T103" s="200"/>
      <c r="U103" s="207"/>
      <c r="V103" s="204"/>
      <c r="W103" s="204"/>
      <c r="X103" s="200"/>
      <c r="Y103" s="200">
        <v>1611914</v>
      </c>
      <c r="Z103" s="200">
        <v>4593322</v>
      </c>
      <c r="AA103" s="200"/>
      <c r="AB103" s="200"/>
      <c r="AC103" s="200"/>
      <c r="AD103" s="200"/>
      <c r="AE103" s="200"/>
      <c r="AF103" s="205"/>
      <c r="AG103" s="204"/>
      <c r="AH103" s="201">
        <f t="shared" ref="AH103:AH122" si="3">SUM(B103:AG103)</f>
        <v>16365776</v>
      </c>
      <c r="AI103" s="173"/>
    </row>
    <row r="104" spans="1:40">
      <c r="A104" s="203" t="s">
        <v>227</v>
      </c>
      <c r="B104" s="204"/>
      <c r="C104" s="205"/>
      <c r="D104" s="200"/>
      <c r="E104" s="205"/>
      <c r="F104" s="200">
        <v>1226054818</v>
      </c>
      <c r="G104" s="200"/>
      <c r="H104" s="200"/>
      <c r="I104" s="200"/>
      <c r="J104" s="200">
        <v>2957294179</v>
      </c>
      <c r="K104" s="200"/>
      <c r="L104" s="200">
        <v>4463762469</v>
      </c>
      <c r="M104" s="200"/>
      <c r="N104" s="200">
        <v>2108910617</v>
      </c>
      <c r="O104" s="205"/>
      <c r="P104" s="200"/>
      <c r="Q104" s="200"/>
      <c r="R104" s="200">
        <v>768391178</v>
      </c>
      <c r="S104" s="200"/>
      <c r="T104" s="200"/>
      <c r="U104" s="207">
        <v>4832746082</v>
      </c>
      <c r="V104" s="204"/>
      <c r="W104" s="200"/>
      <c r="X104" s="200"/>
      <c r="Y104" s="200">
        <v>970333237</v>
      </c>
      <c r="Z104" s="200">
        <v>3768253687</v>
      </c>
      <c r="AA104" s="200"/>
      <c r="AB104" s="200"/>
      <c r="AC104" s="200"/>
      <c r="AD104" s="200"/>
      <c r="AE104" s="207"/>
      <c r="AF104" s="205">
        <v>2771842524</v>
      </c>
      <c r="AG104" s="204"/>
      <c r="AH104" s="201">
        <f t="shared" si="3"/>
        <v>23867588791</v>
      </c>
      <c r="AI104" s="173"/>
    </row>
    <row r="105" spans="1:40">
      <c r="A105" s="203" t="s">
        <v>199</v>
      </c>
      <c r="B105" s="204"/>
      <c r="C105" s="208"/>
      <c r="D105" s="164"/>
      <c r="E105" s="205"/>
      <c r="F105" s="200">
        <v>8248744</v>
      </c>
      <c r="G105" s="200"/>
      <c r="H105" s="164"/>
      <c r="I105" s="200"/>
      <c r="J105" s="164">
        <v>20476242</v>
      </c>
      <c r="K105" s="164"/>
      <c r="L105" s="200">
        <v>30182614</v>
      </c>
      <c r="M105" s="200"/>
      <c r="N105" s="200"/>
      <c r="O105" s="205"/>
      <c r="P105" s="200"/>
      <c r="Q105" s="176"/>
      <c r="R105" s="205">
        <v>4550583</v>
      </c>
      <c r="S105" s="200"/>
      <c r="T105" s="205"/>
      <c r="U105" s="207">
        <v>29405509</v>
      </c>
      <c r="V105" s="200"/>
      <c r="W105" s="200"/>
      <c r="X105" s="200"/>
      <c r="Y105" s="200">
        <v>5870070</v>
      </c>
      <c r="Z105" s="200">
        <v>19964822</v>
      </c>
      <c r="AA105" s="200"/>
      <c r="AB105" s="164"/>
      <c r="AC105" s="200"/>
      <c r="AD105" s="180"/>
      <c r="AE105" s="207"/>
      <c r="AF105" s="205">
        <v>16682656</v>
      </c>
      <c r="AG105" s="204"/>
      <c r="AH105" s="201">
        <f t="shared" si="3"/>
        <v>135381240</v>
      </c>
      <c r="AI105" s="173"/>
      <c r="AK105" s="150" t="s">
        <v>253</v>
      </c>
    </row>
    <row r="106" spans="1:40">
      <c r="A106" s="203" t="s">
        <v>228</v>
      </c>
      <c r="B106" s="204"/>
      <c r="C106" s="205"/>
      <c r="D106" s="205"/>
      <c r="E106" s="205"/>
      <c r="F106" s="200">
        <v>4139062201</v>
      </c>
      <c r="G106" s="200"/>
      <c r="H106" s="200"/>
      <c r="I106" s="200"/>
      <c r="J106" s="200">
        <v>4188515737</v>
      </c>
      <c r="K106" s="200"/>
      <c r="L106" s="210"/>
      <c r="M106" s="200"/>
      <c r="N106" s="200"/>
      <c r="O106" s="205"/>
      <c r="P106" s="205"/>
      <c r="Q106" s="200"/>
      <c r="R106" s="200"/>
      <c r="S106" s="200"/>
      <c r="T106" s="205"/>
      <c r="U106" s="209"/>
      <c r="V106" s="204"/>
      <c r="W106" s="200"/>
      <c r="X106" s="200"/>
      <c r="Y106" s="176"/>
      <c r="Z106" s="200"/>
      <c r="AA106" s="200"/>
      <c r="AB106" s="200"/>
      <c r="AC106" s="200"/>
      <c r="AD106" s="204"/>
      <c r="AE106" s="200"/>
      <c r="AF106" s="205">
        <v>1506247926</v>
      </c>
      <c r="AG106" s="204"/>
      <c r="AH106" s="201">
        <f t="shared" si="3"/>
        <v>9833825864</v>
      </c>
      <c r="AI106" s="173"/>
    </row>
    <row r="107" spans="1:40">
      <c r="A107" s="203" t="s">
        <v>200</v>
      </c>
      <c r="B107" s="204"/>
      <c r="C107" s="205"/>
      <c r="D107" s="205"/>
      <c r="E107" s="205"/>
      <c r="F107" s="200">
        <v>28341079</v>
      </c>
      <c r="G107" s="200"/>
      <c r="H107" s="200"/>
      <c r="I107" s="200"/>
      <c r="J107" s="200">
        <v>28971085</v>
      </c>
      <c r="K107" s="200"/>
      <c r="L107" s="210"/>
      <c r="M107" s="200"/>
      <c r="N107" s="200"/>
      <c r="O107" s="205"/>
      <c r="P107" s="205"/>
      <c r="Q107" s="200"/>
      <c r="R107" s="200"/>
      <c r="S107" s="200"/>
      <c r="T107" s="205"/>
      <c r="U107" s="205"/>
      <c r="V107" s="204"/>
      <c r="W107" s="200"/>
      <c r="X107" s="200"/>
      <c r="Y107" s="176"/>
      <c r="Z107" s="200"/>
      <c r="AA107" s="200"/>
      <c r="AB107" s="200"/>
      <c r="AC107" s="200"/>
      <c r="AD107" s="204"/>
      <c r="AE107" s="200"/>
      <c r="AF107" s="205">
        <v>9246689</v>
      </c>
      <c r="AG107" s="204"/>
      <c r="AH107" s="201">
        <f t="shared" si="3"/>
        <v>66558853</v>
      </c>
      <c r="AI107" s="173"/>
    </row>
    <row r="108" spans="1:40">
      <c r="A108" s="203" t="s">
        <v>36</v>
      </c>
      <c r="B108" s="204"/>
      <c r="C108" s="205"/>
      <c r="D108" s="205"/>
      <c r="E108" s="205"/>
      <c r="F108" s="200"/>
      <c r="G108" s="200"/>
      <c r="H108" s="204"/>
      <c r="I108" s="200"/>
      <c r="J108" s="200"/>
      <c r="K108" s="200"/>
      <c r="L108" s="210"/>
      <c r="M108" s="200"/>
      <c r="N108" s="200">
        <v>2816611744</v>
      </c>
      <c r="O108" s="206"/>
      <c r="P108" s="205"/>
      <c r="Q108" s="200"/>
      <c r="R108" s="200">
        <v>2104794854</v>
      </c>
      <c r="S108" s="200"/>
      <c r="T108" s="205"/>
      <c r="U108" s="205"/>
      <c r="V108" s="204"/>
      <c r="W108" s="200"/>
      <c r="X108" s="200"/>
      <c r="Y108" s="176">
        <v>2164810927</v>
      </c>
      <c r="Z108" s="200"/>
      <c r="AA108" s="200"/>
      <c r="AB108" s="200"/>
      <c r="AC108" s="200"/>
      <c r="AD108" s="204"/>
      <c r="AE108" s="200"/>
      <c r="AF108" s="205"/>
      <c r="AG108" s="204"/>
      <c r="AH108" s="201">
        <f t="shared" si="3"/>
        <v>7086217525</v>
      </c>
      <c r="AI108" s="173"/>
    </row>
    <row r="109" spans="1:40">
      <c r="A109" s="203" t="s">
        <v>36</v>
      </c>
      <c r="B109" s="204"/>
      <c r="C109" s="205"/>
      <c r="D109" s="205"/>
      <c r="E109" s="205"/>
      <c r="F109" s="200"/>
      <c r="G109" s="200"/>
      <c r="H109" s="204"/>
      <c r="I109" s="200"/>
      <c r="J109" s="200"/>
      <c r="K109" s="200"/>
      <c r="L109" s="210"/>
      <c r="M109" s="200"/>
      <c r="N109" s="200">
        <v>2512717140</v>
      </c>
      <c r="O109" s="206"/>
      <c r="P109" s="205"/>
      <c r="Q109" s="200"/>
      <c r="R109" s="200"/>
      <c r="S109" s="200"/>
      <c r="T109" s="205"/>
      <c r="U109" s="205"/>
      <c r="V109" s="204"/>
      <c r="W109" s="200"/>
      <c r="X109" s="200"/>
      <c r="Y109" s="176"/>
      <c r="Z109" s="200"/>
      <c r="AA109" s="200"/>
      <c r="AB109" s="200"/>
      <c r="AC109" s="200"/>
      <c r="AD109" s="204"/>
      <c r="AE109" s="200"/>
      <c r="AF109" s="205"/>
      <c r="AG109" s="204"/>
      <c r="AH109" s="201">
        <f t="shared" si="3"/>
        <v>2512717140</v>
      </c>
      <c r="AI109" s="173"/>
    </row>
    <row r="110" spans="1:40">
      <c r="A110" s="203" t="s">
        <v>36</v>
      </c>
      <c r="B110" s="204"/>
      <c r="C110" s="205"/>
      <c r="D110" s="205"/>
      <c r="E110" s="205"/>
      <c r="F110" s="200"/>
      <c r="G110" s="200"/>
      <c r="H110" s="204"/>
      <c r="I110" s="200"/>
      <c r="J110" s="200"/>
      <c r="K110" s="200"/>
      <c r="L110" s="210"/>
      <c r="M110" s="200"/>
      <c r="N110" s="200">
        <v>4561210984</v>
      </c>
      <c r="O110" s="206"/>
      <c r="P110" s="205"/>
      <c r="Q110" s="200"/>
      <c r="R110" s="200"/>
      <c r="S110" s="200"/>
      <c r="T110" s="205"/>
      <c r="U110" s="205"/>
      <c r="V110" s="204"/>
      <c r="W110" s="200"/>
      <c r="X110" s="200"/>
      <c r="Y110" s="176"/>
      <c r="Z110" s="200"/>
      <c r="AA110" s="200"/>
      <c r="AB110" s="200"/>
      <c r="AC110" s="200"/>
      <c r="AD110" s="204"/>
      <c r="AE110" s="200"/>
      <c r="AF110" s="205"/>
      <c r="AG110" s="204"/>
      <c r="AH110" s="201">
        <f t="shared" si="3"/>
        <v>4561210984</v>
      </c>
      <c r="AI110" s="173"/>
    </row>
    <row r="111" spans="1:40">
      <c r="A111" s="203" t="s">
        <v>242</v>
      </c>
      <c r="B111" s="204"/>
      <c r="C111" s="205"/>
      <c r="D111" s="205"/>
      <c r="E111" s="205"/>
      <c r="F111" s="200"/>
      <c r="G111" s="200"/>
      <c r="H111" s="204"/>
      <c r="I111" s="200"/>
      <c r="J111" s="200"/>
      <c r="K111" s="200"/>
      <c r="L111" s="210"/>
      <c r="M111" s="200"/>
      <c r="N111" s="200"/>
      <c r="O111" s="206"/>
      <c r="P111" s="205"/>
      <c r="Q111" s="200"/>
      <c r="R111" s="200">
        <v>13301134</v>
      </c>
      <c r="S111" s="200"/>
      <c r="T111" s="205"/>
      <c r="U111" s="205"/>
      <c r="V111" s="204"/>
      <c r="W111" s="200"/>
      <c r="X111" s="200"/>
      <c r="Y111" s="176">
        <v>13680402</v>
      </c>
      <c r="Z111" s="200"/>
      <c r="AA111" s="200"/>
      <c r="AB111" s="200"/>
      <c r="AC111" s="204"/>
      <c r="AD111" s="204"/>
      <c r="AE111" s="200"/>
      <c r="AF111" s="205"/>
      <c r="AG111" s="204"/>
      <c r="AH111" s="201">
        <f t="shared" si="3"/>
        <v>26981536</v>
      </c>
      <c r="AI111" s="173"/>
    </row>
    <row r="112" spans="1:40">
      <c r="A112" s="162" t="s">
        <v>53</v>
      </c>
      <c r="B112" s="204"/>
      <c r="C112" s="205"/>
      <c r="D112" s="180"/>
      <c r="E112" s="205"/>
      <c r="F112" s="200"/>
      <c r="G112" s="200"/>
      <c r="H112" s="200"/>
      <c r="I112" s="200"/>
      <c r="J112" s="200"/>
      <c r="K112" s="200"/>
      <c r="L112" s="210"/>
      <c r="M112" s="200"/>
      <c r="N112" s="180"/>
      <c r="O112" s="176"/>
      <c r="P112" s="180"/>
      <c r="Q112" s="200"/>
      <c r="R112" s="200"/>
      <c r="T112" s="205"/>
      <c r="U112" s="176"/>
      <c r="V112" s="169"/>
      <c r="W112" s="200"/>
      <c r="X112" s="176"/>
      <c r="Y112" s="200"/>
      <c r="Z112" s="200"/>
      <c r="AA112" s="200"/>
      <c r="AB112" s="164"/>
      <c r="AC112" s="200"/>
      <c r="AD112" s="200"/>
      <c r="AE112" s="200"/>
      <c r="AF112" s="205"/>
      <c r="AG112" s="200"/>
      <c r="AH112" s="201">
        <f t="shared" si="3"/>
        <v>0</v>
      </c>
      <c r="AI112" s="173"/>
    </row>
    <row r="113" spans="1:35">
      <c r="A113" s="162" t="s">
        <v>54</v>
      </c>
      <c r="B113" s="204"/>
      <c r="C113" s="205"/>
      <c r="D113" s="205"/>
      <c r="E113" s="180"/>
      <c r="F113" s="200"/>
      <c r="G113" s="200"/>
      <c r="H113" s="200"/>
      <c r="I113" s="200"/>
      <c r="J113" s="200"/>
      <c r="K113" s="200"/>
      <c r="L113" s="210"/>
      <c r="M113" s="200"/>
      <c r="N113" s="200"/>
      <c r="O113" s="205"/>
      <c r="P113" s="180"/>
      <c r="Q113" s="200"/>
      <c r="R113" s="200"/>
      <c r="S113" s="200"/>
      <c r="T113" s="205"/>
      <c r="U113" s="205"/>
      <c r="V113" s="169"/>
      <c r="W113" s="180"/>
      <c r="X113" s="169"/>
      <c r="Y113" s="200"/>
      <c r="Z113" s="180"/>
      <c r="AA113" s="200"/>
      <c r="AB113" s="200"/>
      <c r="AC113" s="204"/>
      <c r="AD113" s="200"/>
      <c r="AE113" s="200"/>
      <c r="AF113" s="205"/>
      <c r="AG113" s="204"/>
      <c r="AH113" s="201">
        <f t="shared" si="3"/>
        <v>0</v>
      </c>
      <c r="AI113" s="173">
        <v>1</v>
      </c>
    </row>
    <row r="114" spans="1:35">
      <c r="A114" s="162" t="s">
        <v>203</v>
      </c>
      <c r="B114" s="204"/>
      <c r="C114" s="205"/>
      <c r="D114" s="205"/>
      <c r="E114" s="180"/>
      <c r="F114" s="200"/>
      <c r="G114" s="200"/>
      <c r="H114" s="204"/>
      <c r="I114" s="205"/>
      <c r="J114" s="200"/>
      <c r="K114" s="200"/>
      <c r="L114" s="210"/>
      <c r="M114" s="200"/>
      <c r="N114" s="200"/>
      <c r="O114" s="205"/>
      <c r="P114" s="180"/>
      <c r="Q114" s="200"/>
      <c r="R114" s="200"/>
      <c r="S114" s="200"/>
      <c r="T114" s="205"/>
      <c r="U114" s="205"/>
      <c r="V114" s="176"/>
      <c r="W114" s="180"/>
      <c r="X114" s="169"/>
      <c r="Y114" s="200"/>
      <c r="Z114" s="180"/>
      <c r="AA114" s="200"/>
      <c r="AB114" s="200"/>
      <c r="AC114" s="204"/>
      <c r="AD114" s="200"/>
      <c r="AE114" s="205"/>
      <c r="AF114" s="205"/>
      <c r="AG114" s="204"/>
      <c r="AH114" s="201">
        <f t="shared" si="3"/>
        <v>0</v>
      </c>
      <c r="AI114" s="173"/>
    </row>
    <row r="115" spans="1:35">
      <c r="A115" s="162" t="s">
        <v>37</v>
      </c>
      <c r="B115" s="204"/>
      <c r="C115" s="200"/>
      <c r="D115" s="200"/>
      <c r="E115" s="180"/>
      <c r="F115" s="164"/>
      <c r="G115" s="180">
        <v>1931403306</v>
      </c>
      <c r="H115" s="200"/>
      <c r="I115" s="180"/>
      <c r="J115" s="200"/>
      <c r="K115" s="200"/>
      <c r="L115" s="210"/>
      <c r="M115" s="200"/>
      <c r="N115" s="200">
        <v>1157005012</v>
      </c>
      <c r="O115" s="205" t="s">
        <v>89</v>
      </c>
      <c r="P115" s="176"/>
      <c r="Q115" s="200"/>
      <c r="R115" s="200">
        <v>2985569622</v>
      </c>
      <c r="S115" s="200"/>
      <c r="T115" s="205"/>
      <c r="U115" s="176">
        <v>466084566</v>
      </c>
      <c r="V115" s="176"/>
      <c r="W115" s="200"/>
      <c r="X115" s="176"/>
      <c r="Y115" s="180"/>
      <c r="Z115" s="200"/>
      <c r="AA115" s="200">
        <v>946507657</v>
      </c>
      <c r="AB115" s="172">
        <v>1064412557</v>
      </c>
      <c r="AC115" s="200"/>
      <c r="AD115" s="200"/>
      <c r="AE115" s="176"/>
      <c r="AF115" s="178"/>
      <c r="AG115" s="200"/>
      <c r="AH115" s="201">
        <f t="shared" si="3"/>
        <v>8550982720</v>
      </c>
      <c r="AI115" s="173"/>
    </row>
    <row r="116" spans="1:35">
      <c r="A116" s="162" t="s">
        <v>38</v>
      </c>
      <c r="B116" s="204"/>
      <c r="C116" s="176"/>
      <c r="D116" s="176"/>
      <c r="E116" s="180"/>
      <c r="F116" s="200"/>
      <c r="G116" s="200"/>
      <c r="H116" s="200"/>
      <c r="I116" s="205"/>
      <c r="J116" s="200"/>
      <c r="K116" s="180"/>
      <c r="L116" s="210"/>
      <c r="M116" s="200"/>
      <c r="N116" s="180"/>
      <c r="O116" s="180"/>
      <c r="P116" s="205"/>
      <c r="Q116" s="174"/>
      <c r="R116" s="176"/>
      <c r="S116" s="200"/>
      <c r="T116" s="176"/>
      <c r="U116" s="205"/>
      <c r="V116" s="205"/>
      <c r="W116" s="180"/>
      <c r="X116" s="169"/>
      <c r="Y116" s="180"/>
      <c r="Z116" s="174"/>
      <c r="AA116" s="200"/>
      <c r="AB116" s="172">
        <v>1870843551</v>
      </c>
      <c r="AC116" s="200"/>
      <c r="AD116" s="200"/>
      <c r="AE116" s="205"/>
      <c r="AF116" s="176"/>
      <c r="AG116" s="169"/>
      <c r="AH116" s="201">
        <f t="shared" si="3"/>
        <v>1870843551</v>
      </c>
      <c r="AI116" s="173"/>
    </row>
    <row r="117" spans="1:35">
      <c r="A117" s="162" t="s">
        <v>414</v>
      </c>
      <c r="B117" s="204"/>
      <c r="C117" s="176"/>
      <c r="D117" s="176"/>
      <c r="E117" s="180"/>
      <c r="F117" s="200"/>
      <c r="G117" s="200"/>
      <c r="H117" s="200"/>
      <c r="I117" s="205"/>
      <c r="J117" s="200"/>
      <c r="K117" s="180"/>
      <c r="L117" s="210"/>
      <c r="M117" s="200"/>
      <c r="N117" s="180"/>
      <c r="O117" s="180"/>
      <c r="P117" s="205"/>
      <c r="Q117" s="174"/>
      <c r="R117" s="176"/>
      <c r="S117" s="200"/>
      <c r="T117" s="176"/>
      <c r="U117" s="205"/>
      <c r="V117" s="205"/>
      <c r="W117" s="180"/>
      <c r="X117" s="169"/>
      <c r="Y117" s="180"/>
      <c r="Z117" s="174"/>
      <c r="AA117" s="200"/>
      <c r="AB117" s="172">
        <v>1944114009</v>
      </c>
      <c r="AC117" s="200"/>
      <c r="AD117" s="200"/>
      <c r="AE117" s="205"/>
      <c r="AF117" s="176"/>
      <c r="AG117" s="169"/>
      <c r="AH117" s="201">
        <f t="shared" si="3"/>
        <v>1944114009</v>
      </c>
      <c r="AI117" s="173"/>
    </row>
    <row r="118" spans="1:35">
      <c r="A118" s="162" t="s">
        <v>201</v>
      </c>
      <c r="B118" s="204"/>
      <c r="C118" s="176">
        <v>71460824</v>
      </c>
      <c r="D118" s="169"/>
      <c r="E118" s="180"/>
      <c r="F118" s="200"/>
      <c r="G118" s="200"/>
      <c r="H118" s="204"/>
      <c r="I118" s="205"/>
      <c r="J118" s="200"/>
      <c r="K118" s="180"/>
      <c r="L118" s="200"/>
      <c r="M118" s="200"/>
      <c r="N118" s="174"/>
      <c r="O118" s="180"/>
      <c r="P118" s="205"/>
      <c r="Q118" s="174"/>
      <c r="R118" s="176"/>
      <c r="S118" s="200"/>
      <c r="T118" s="176"/>
      <c r="U118" s="205"/>
      <c r="V118" s="205"/>
      <c r="W118" s="180"/>
      <c r="X118" s="176"/>
      <c r="Y118" s="180"/>
      <c r="Z118" s="174"/>
      <c r="AA118" s="200"/>
      <c r="AB118" s="172"/>
      <c r="AC118" s="200"/>
      <c r="AD118" s="200"/>
      <c r="AE118" s="205"/>
      <c r="AF118" s="176"/>
      <c r="AG118" s="169"/>
      <c r="AH118" s="201">
        <f t="shared" si="3"/>
        <v>71460824</v>
      </c>
      <c r="AI118" s="173"/>
    </row>
    <row r="119" spans="1:35">
      <c r="A119" s="162" t="s">
        <v>175</v>
      </c>
      <c r="B119" s="204"/>
      <c r="C119" s="193"/>
      <c r="D119" s="200"/>
      <c r="E119" s="180"/>
      <c r="F119" s="200"/>
      <c r="G119" s="200"/>
      <c r="H119" s="200"/>
      <c r="I119" s="205"/>
      <c r="J119" s="180"/>
      <c r="K119" s="200"/>
      <c r="L119" s="169"/>
      <c r="M119" s="200"/>
      <c r="N119" s="180">
        <v>355362607</v>
      </c>
      <c r="O119" s="180"/>
      <c r="Q119" s="205"/>
      <c r="R119" s="176">
        <v>1641442251</v>
      </c>
      <c r="S119" s="200"/>
      <c r="T119" s="200"/>
      <c r="U119" s="200">
        <v>1126527130</v>
      </c>
      <c r="V119" s="200"/>
      <c r="W119" s="180"/>
      <c r="X119" s="176"/>
      <c r="Y119" s="180"/>
      <c r="Z119" s="174"/>
      <c r="AA119" s="176">
        <v>1144333355</v>
      </c>
      <c r="AB119" s="172">
        <v>1129404778</v>
      </c>
      <c r="AC119" s="200"/>
      <c r="AD119" s="200"/>
      <c r="AE119" s="176"/>
      <c r="AF119" s="176"/>
      <c r="AG119" s="169"/>
      <c r="AH119" s="201">
        <f t="shared" si="3"/>
        <v>5397070121</v>
      </c>
      <c r="AI119" s="173"/>
    </row>
    <row r="120" spans="1:35">
      <c r="A120" s="162" t="s">
        <v>176</v>
      </c>
      <c r="B120" s="204"/>
      <c r="C120" s="205"/>
      <c r="D120" s="200"/>
      <c r="E120" s="180"/>
      <c r="F120" s="200"/>
      <c r="G120" s="200"/>
      <c r="H120" s="200"/>
      <c r="I120" s="205"/>
      <c r="J120" s="180"/>
      <c r="K120" s="180"/>
      <c r="L120" s="200"/>
      <c r="M120" s="200"/>
      <c r="N120" s="200"/>
      <c r="O120" s="180"/>
      <c r="P120" s="205"/>
      <c r="Q120" s="200"/>
      <c r="R120" s="207"/>
      <c r="S120" s="200"/>
      <c r="T120" s="180"/>
      <c r="U120" s="176">
        <v>749124302</v>
      </c>
      <c r="V120" s="176"/>
      <c r="W120" s="200"/>
      <c r="X120" s="176"/>
      <c r="Y120" s="180"/>
      <c r="Z120" s="200"/>
      <c r="AA120" s="200">
        <v>1492983000</v>
      </c>
      <c r="AB120" s="172">
        <v>1897662926</v>
      </c>
      <c r="AC120" s="200"/>
      <c r="AD120" s="200"/>
      <c r="AE120" s="205"/>
      <c r="AF120" s="176"/>
      <c r="AG120" s="200"/>
      <c r="AH120" s="201">
        <f t="shared" si="3"/>
        <v>4139770228</v>
      </c>
      <c r="AI120" s="173"/>
    </row>
    <row r="121" spans="1:35">
      <c r="A121" s="162" t="s">
        <v>409</v>
      </c>
      <c r="B121" s="204"/>
      <c r="C121" s="205"/>
      <c r="D121" s="200"/>
      <c r="E121" s="180"/>
      <c r="F121" s="200"/>
      <c r="G121" s="200"/>
      <c r="H121" s="200"/>
      <c r="I121" s="205"/>
      <c r="J121" s="180"/>
      <c r="K121" s="180"/>
      <c r="L121" s="200"/>
      <c r="M121" s="200"/>
      <c r="N121" s="200"/>
      <c r="O121" s="180"/>
      <c r="P121" s="205"/>
      <c r="Q121" s="200"/>
      <c r="R121" s="207"/>
      <c r="S121" s="200"/>
      <c r="T121" s="180"/>
      <c r="U121" s="176"/>
      <c r="V121" s="176"/>
      <c r="W121" s="200"/>
      <c r="X121" s="176"/>
      <c r="Y121" s="176"/>
      <c r="Z121" s="176"/>
      <c r="AA121" s="176"/>
      <c r="AB121" s="172"/>
      <c r="AC121" s="200"/>
      <c r="AD121" s="200"/>
      <c r="AE121" s="209"/>
      <c r="AF121" s="176"/>
      <c r="AG121" s="200"/>
      <c r="AH121" s="201">
        <f t="shared" si="3"/>
        <v>0</v>
      </c>
      <c r="AI121" s="173"/>
    </row>
    <row r="122" spans="1:35">
      <c r="A122" s="162" t="s">
        <v>202</v>
      </c>
      <c r="B122" s="204"/>
      <c r="C122" s="205">
        <v>38786239</v>
      </c>
      <c r="D122" s="200"/>
      <c r="E122" s="180"/>
      <c r="F122" s="200"/>
      <c r="G122" s="200"/>
      <c r="H122" s="200"/>
      <c r="I122" s="205"/>
      <c r="J122" s="180"/>
      <c r="K122" s="180"/>
      <c r="L122" s="200"/>
      <c r="M122" s="200"/>
      <c r="N122" s="200"/>
      <c r="O122" s="180"/>
      <c r="P122" s="205"/>
      <c r="Q122" s="200"/>
      <c r="R122" s="207"/>
      <c r="S122" s="200"/>
      <c r="T122" s="180"/>
      <c r="U122" s="176"/>
      <c r="V122" s="200"/>
      <c r="W122" s="200"/>
      <c r="X122" s="176"/>
      <c r="Y122" s="180"/>
      <c r="Z122" s="200"/>
      <c r="AA122" s="200"/>
      <c r="AB122" s="172"/>
      <c r="AC122" s="200"/>
      <c r="AD122" s="200"/>
      <c r="AE122" s="207"/>
      <c r="AF122" s="176"/>
      <c r="AG122" s="200"/>
      <c r="AH122" s="201">
        <f t="shared" si="3"/>
        <v>38786239</v>
      </c>
      <c r="AI122" s="173"/>
    </row>
    <row r="123" spans="1:35">
      <c r="A123" s="211" t="s">
        <v>41</v>
      </c>
      <c r="B123" s="212"/>
      <c r="C123" s="213">
        <f t="shared" ref="C123:H123" si="4">SUM(C102:C122)</f>
        <v>110247063</v>
      </c>
      <c r="D123" s="213">
        <f>SUM(D102:D122)</f>
        <v>0</v>
      </c>
      <c r="E123" s="213">
        <f t="shared" si="4"/>
        <v>0</v>
      </c>
      <c r="F123" s="213">
        <f t="shared" si="4"/>
        <v>5401706842</v>
      </c>
      <c r="G123" s="213">
        <f t="shared" si="4"/>
        <v>1931403306</v>
      </c>
      <c r="H123" s="213">
        <f t="shared" si="4"/>
        <v>0</v>
      </c>
      <c r="I123" s="213">
        <f>SUM(I101:I122)</f>
        <v>0</v>
      </c>
      <c r="J123" s="213">
        <f t="shared" ref="J123:AG123" si="5">SUM(J102:J122)</f>
        <v>7195257243</v>
      </c>
      <c r="K123" s="213">
        <f t="shared" si="5"/>
        <v>0</v>
      </c>
      <c r="L123" s="213">
        <f>SUM(L102:L122)</f>
        <v>6087566344</v>
      </c>
      <c r="M123" s="213">
        <f t="shared" si="5"/>
        <v>0</v>
      </c>
      <c r="N123" s="213">
        <f t="shared" si="5"/>
        <v>13511818104</v>
      </c>
      <c r="O123" s="213">
        <f t="shared" si="5"/>
        <v>0</v>
      </c>
      <c r="P123" s="213">
        <f t="shared" si="5"/>
        <v>0</v>
      </c>
      <c r="Q123" s="213">
        <f t="shared" si="5"/>
        <v>0</v>
      </c>
      <c r="R123" s="213">
        <f>SUM(R102:R122)</f>
        <v>7518049622</v>
      </c>
      <c r="S123" s="213">
        <f t="shared" si="5"/>
        <v>0</v>
      </c>
      <c r="T123" s="213">
        <f t="shared" si="5"/>
        <v>0</v>
      </c>
      <c r="U123" s="213">
        <f t="shared" si="5"/>
        <v>7203887589</v>
      </c>
      <c r="V123" s="213">
        <f t="shared" si="5"/>
        <v>0</v>
      </c>
      <c r="W123" s="213">
        <f t="shared" si="5"/>
        <v>0</v>
      </c>
      <c r="X123" s="213">
        <f t="shared" si="5"/>
        <v>0</v>
      </c>
      <c r="Y123" s="213">
        <f t="shared" si="5"/>
        <v>3407513936</v>
      </c>
      <c r="Z123" s="213">
        <f t="shared" si="5"/>
        <v>4703883866</v>
      </c>
      <c r="AA123" s="213">
        <f>SUM(AA102:AA122)</f>
        <v>3583824012</v>
      </c>
      <c r="AB123" s="213">
        <f>SUM(AB102:AB122)</f>
        <v>7906437821</v>
      </c>
      <c r="AC123" s="213">
        <f t="shared" si="5"/>
        <v>0</v>
      </c>
      <c r="AD123" s="213">
        <f t="shared" si="5"/>
        <v>0</v>
      </c>
      <c r="AE123" s="213">
        <f t="shared" si="5"/>
        <v>0</v>
      </c>
      <c r="AF123" s="213">
        <f>SUM(AF102:AF122)</f>
        <v>4304019795</v>
      </c>
      <c r="AG123" s="213">
        <f t="shared" si="5"/>
        <v>0</v>
      </c>
      <c r="AH123" s="214">
        <f>SUM(AH102:AH122)</f>
        <v>72865615543</v>
      </c>
      <c r="AI123" s="154"/>
    </row>
    <row r="124" spans="1:35">
      <c r="A124" s="393" t="s">
        <v>42</v>
      </c>
      <c r="B124" s="394"/>
      <c r="C124" s="215">
        <f t="shared" ref="C124:AG124" si="6">C99+C123</f>
        <v>196261975</v>
      </c>
      <c r="D124" s="215">
        <f>D99+D123</f>
        <v>2624244480</v>
      </c>
      <c r="E124" s="216">
        <f t="shared" si="6"/>
        <v>276692406</v>
      </c>
      <c r="F124" s="216">
        <f t="shared" si="6"/>
        <v>5401706842</v>
      </c>
      <c r="G124" s="216">
        <f t="shared" si="6"/>
        <v>1931403306</v>
      </c>
      <c r="H124" s="216">
        <f t="shared" si="6"/>
        <v>0</v>
      </c>
      <c r="I124" s="216">
        <f t="shared" si="6"/>
        <v>0</v>
      </c>
      <c r="J124" s="215">
        <f t="shared" si="6"/>
        <v>8201892190</v>
      </c>
      <c r="K124" s="215">
        <f t="shared" si="6"/>
        <v>556845006</v>
      </c>
      <c r="L124" s="216">
        <f t="shared" si="6"/>
        <v>6408138064</v>
      </c>
      <c r="M124" s="216">
        <f t="shared" si="6"/>
        <v>761790517</v>
      </c>
      <c r="N124" s="216">
        <f t="shared" si="6"/>
        <v>13630215350</v>
      </c>
      <c r="O124" s="216">
        <f t="shared" si="6"/>
        <v>0</v>
      </c>
      <c r="P124" s="216">
        <f t="shared" si="6"/>
        <v>0</v>
      </c>
      <c r="Q124" s="216">
        <f t="shared" si="6"/>
        <v>1065738681</v>
      </c>
      <c r="R124" s="216">
        <f t="shared" si="6"/>
        <v>8409579422</v>
      </c>
      <c r="S124" s="216">
        <f t="shared" si="6"/>
        <v>3219022049</v>
      </c>
      <c r="T124" s="216">
        <f t="shared" si="6"/>
        <v>541945390</v>
      </c>
      <c r="U124" s="216">
        <f t="shared" si="6"/>
        <v>7402342992</v>
      </c>
      <c r="V124" s="216">
        <f t="shared" si="6"/>
        <v>0</v>
      </c>
      <c r="W124" s="216">
        <f t="shared" si="6"/>
        <v>0</v>
      </c>
      <c r="X124" s="216">
        <f t="shared" si="6"/>
        <v>3036788475</v>
      </c>
      <c r="Y124" s="216">
        <f t="shared" si="6"/>
        <v>3407513936</v>
      </c>
      <c r="Z124" s="216">
        <f t="shared" si="6"/>
        <v>5022459490</v>
      </c>
      <c r="AA124" s="216">
        <f t="shared" si="6"/>
        <v>4309437658</v>
      </c>
      <c r="AB124" s="216">
        <f t="shared" si="6"/>
        <v>8005780781</v>
      </c>
      <c r="AC124" s="216">
        <f t="shared" si="6"/>
        <v>0</v>
      </c>
      <c r="AD124" s="216">
        <f t="shared" si="6"/>
        <v>0</v>
      </c>
      <c r="AE124" s="216">
        <f t="shared" si="6"/>
        <v>721762290</v>
      </c>
      <c r="AF124" s="216">
        <f t="shared" si="6"/>
        <v>7691588131</v>
      </c>
      <c r="AG124" s="216">
        <f t="shared" si="6"/>
        <v>0</v>
      </c>
      <c r="AH124" s="216">
        <f>SUM(C124:AG124)</f>
        <v>92823149431</v>
      </c>
    </row>
    <row r="126" spans="1:35">
      <c r="A126" s="150" t="s">
        <v>50</v>
      </c>
      <c r="C126" s="154">
        <v>7870727911</v>
      </c>
      <c r="D126" s="193">
        <v>10703956340</v>
      </c>
      <c r="E126" s="154">
        <v>10733299620</v>
      </c>
      <c r="F126" s="154">
        <v>13439069292</v>
      </c>
      <c r="G126" s="154">
        <v>12027721266</v>
      </c>
      <c r="H126" s="154"/>
      <c r="I126" s="154"/>
      <c r="J126" s="154">
        <v>20005684404</v>
      </c>
      <c r="K126" s="193">
        <v>15526043886</v>
      </c>
      <c r="L126" s="154">
        <v>17723067780</v>
      </c>
      <c r="M126" s="154">
        <v>14705850849</v>
      </c>
      <c r="N126" s="154">
        <v>16917567884</v>
      </c>
      <c r="O126" s="154"/>
      <c r="P126" s="154"/>
      <c r="Q126" s="154">
        <v>9746593599</v>
      </c>
      <c r="R126" s="154">
        <v>11955203144</v>
      </c>
      <c r="S126" s="154">
        <v>5987546495</v>
      </c>
      <c r="T126" s="154">
        <v>6303618603</v>
      </c>
      <c r="U126" s="154">
        <v>8704489075</v>
      </c>
      <c r="V126" s="154"/>
      <c r="W126" s="154"/>
      <c r="X126" s="154">
        <v>7603101921</v>
      </c>
      <c r="Y126" s="154">
        <v>8813075164</v>
      </c>
      <c r="Z126" s="154">
        <v>12285093811</v>
      </c>
      <c r="AA126" s="154">
        <v>10608904364</v>
      </c>
      <c r="AB126" s="217">
        <v>9410510986</v>
      </c>
      <c r="AC126" s="154"/>
      <c r="AD126" s="154"/>
      <c r="AE126" s="154">
        <v>9067985807</v>
      </c>
      <c r="AF126" s="154">
        <v>11265836042</v>
      </c>
      <c r="AG126" s="154"/>
    </row>
    <row r="127" spans="1:35">
      <c r="A127" s="150" t="s">
        <v>139</v>
      </c>
      <c r="C127" s="200">
        <f>C126-C124</f>
        <v>7674465936</v>
      </c>
      <c r="D127" s="218">
        <f>D126-D124</f>
        <v>8079711860</v>
      </c>
      <c r="E127" s="219">
        <f>E126-E124</f>
        <v>10456607214</v>
      </c>
      <c r="F127" s="154">
        <f>F126-F124</f>
        <v>8037362450</v>
      </c>
      <c r="G127" s="219">
        <f>G126-G124</f>
        <v>10096317960</v>
      </c>
      <c r="H127" s="154"/>
      <c r="I127" s="219"/>
      <c r="J127" s="154">
        <f>J126-J124</f>
        <v>11803792214</v>
      </c>
      <c r="K127" s="220">
        <f>K126-K124</f>
        <v>14969198880</v>
      </c>
      <c r="L127" s="219">
        <f>L126-L124</f>
        <v>11314929716</v>
      </c>
      <c r="M127" s="154">
        <f>M126-M124</f>
        <v>13944060332</v>
      </c>
      <c r="N127" s="217">
        <f>N126-N124</f>
        <v>3287352534</v>
      </c>
      <c r="O127" s="217"/>
      <c r="P127" s="217"/>
      <c r="Q127" s="217">
        <f>Q126-Q124</f>
        <v>8680854918</v>
      </c>
      <c r="R127" s="219">
        <f>R126-R124</f>
        <v>3545623722</v>
      </c>
      <c r="S127" s="154">
        <f>S126-S124</f>
        <v>2768524446</v>
      </c>
      <c r="T127" s="154">
        <f>T126-T124</f>
        <v>5761673213</v>
      </c>
      <c r="U127" s="217">
        <f>U126-U124</f>
        <v>1302146083</v>
      </c>
      <c r="V127" s="154"/>
      <c r="W127" s="219"/>
      <c r="X127" s="154">
        <f>X126-X124</f>
        <v>4566313446</v>
      </c>
      <c r="Y127" s="219">
        <f>Y126-Y124</f>
        <v>5405561228</v>
      </c>
      <c r="Z127" s="154">
        <f>Z126-Z124</f>
        <v>7262634321</v>
      </c>
      <c r="AA127" s="154">
        <f>AA126-AA124</f>
        <v>6299466706</v>
      </c>
      <c r="AB127" s="217">
        <f>AB126-AB124</f>
        <v>1404730205</v>
      </c>
      <c r="AC127" s="219"/>
      <c r="AD127" s="219"/>
      <c r="AE127" s="221">
        <f>AE126-AE124</f>
        <v>8346223517</v>
      </c>
      <c r="AF127" s="200">
        <f>AF126-AF124</f>
        <v>3574247911</v>
      </c>
      <c r="AG127" s="200"/>
    </row>
    <row r="128" spans="1:35">
      <c r="A128" s="150" t="s">
        <v>181</v>
      </c>
      <c r="C128" s="154">
        <v>2105377793</v>
      </c>
      <c r="D128" s="218">
        <v>2044995947</v>
      </c>
      <c r="E128" s="154">
        <v>2351869117</v>
      </c>
      <c r="F128" s="154">
        <v>2863282086</v>
      </c>
      <c r="G128" s="154">
        <v>2708553414</v>
      </c>
      <c r="H128" s="154"/>
      <c r="I128" s="154"/>
      <c r="J128" s="154">
        <v>2547512759</v>
      </c>
      <c r="K128" s="193">
        <v>2346556750</v>
      </c>
      <c r="L128" s="154">
        <v>2602927456</v>
      </c>
      <c r="M128" s="154">
        <v>2678059699</v>
      </c>
      <c r="N128" s="154">
        <v>2610026959</v>
      </c>
      <c r="O128" s="154"/>
      <c r="P128" s="154"/>
      <c r="Q128" s="154">
        <v>2084931710</v>
      </c>
      <c r="R128" s="219">
        <v>2119322391</v>
      </c>
      <c r="S128" s="154">
        <v>2393862798</v>
      </c>
      <c r="T128" s="154">
        <v>2484984684</v>
      </c>
      <c r="U128" s="154"/>
      <c r="V128" s="154"/>
      <c r="W128" s="154"/>
      <c r="X128" s="154">
        <v>2010399716</v>
      </c>
      <c r="Y128" s="217">
        <v>2827888571</v>
      </c>
      <c r="Z128" s="154">
        <v>2530694870</v>
      </c>
      <c r="AA128" s="154">
        <v>2491192669</v>
      </c>
      <c r="AB128" s="154">
        <v>2409689709</v>
      </c>
      <c r="AC128" s="154"/>
      <c r="AD128" s="217"/>
      <c r="AE128" s="154">
        <v>2282054223</v>
      </c>
      <c r="AF128" s="154">
        <v>2284587214</v>
      </c>
      <c r="AG128" s="154"/>
      <c r="AH128" s="219"/>
    </row>
    <row r="129" spans="1:35">
      <c r="A129" s="150" t="s">
        <v>139</v>
      </c>
      <c r="C129" s="154">
        <f>C127+C128</f>
        <v>9779843729</v>
      </c>
      <c r="D129" s="218">
        <f>D127+D128</f>
        <v>10124707807</v>
      </c>
      <c r="E129" s="154">
        <f>E127+E128</f>
        <v>12808476331</v>
      </c>
      <c r="F129" s="154">
        <f>F127+F128</f>
        <v>10900644536</v>
      </c>
      <c r="G129" s="154">
        <f>G127+G128</f>
        <v>12804871374</v>
      </c>
      <c r="H129" s="154"/>
      <c r="I129" s="154"/>
      <c r="J129" s="193">
        <f>J127+J128</f>
        <v>14351304973</v>
      </c>
      <c r="K129" s="193">
        <f>K127+K128</f>
        <v>17315755630</v>
      </c>
      <c r="L129" s="154">
        <f>L127+L128</f>
        <v>13917857172</v>
      </c>
      <c r="M129" s="154">
        <f>M127+M128</f>
        <v>16622120031</v>
      </c>
      <c r="N129" s="154">
        <f>N127+N128</f>
        <v>5897379493</v>
      </c>
      <c r="O129" s="154"/>
      <c r="P129" s="154"/>
      <c r="Q129" s="154">
        <f>Q127+Q128</f>
        <v>10765786628</v>
      </c>
      <c r="R129" s="219">
        <f>R127+R128</f>
        <v>5664946113</v>
      </c>
      <c r="S129" s="219">
        <f>S127-S128</f>
        <v>374661648</v>
      </c>
      <c r="T129" s="219">
        <f>T127+T128</f>
        <v>8246657897</v>
      </c>
      <c r="U129" s="154"/>
      <c r="V129" s="154"/>
      <c r="W129" s="154"/>
      <c r="X129" s="154">
        <f>X127+X128</f>
        <v>6576713162</v>
      </c>
      <c r="Y129" s="217"/>
      <c r="Z129" s="219"/>
      <c r="AA129" s="219">
        <f>AA127+AA128</f>
        <v>8790659375</v>
      </c>
      <c r="AB129" s="154">
        <f>AB127+AB128</f>
        <v>3814419914</v>
      </c>
      <c r="AC129" s="154"/>
      <c r="AD129" s="219"/>
      <c r="AE129" s="154">
        <f>AE127+AE128</f>
        <v>10628277740</v>
      </c>
      <c r="AF129" s="217">
        <f>AF127+AF128</f>
        <v>5858835125</v>
      </c>
      <c r="AG129" s="154"/>
      <c r="AH129" s="219"/>
    </row>
    <row r="130" spans="1:35">
      <c r="A130" s="150" t="s">
        <v>407</v>
      </c>
      <c r="E130" s="154"/>
      <c r="F130" s="154"/>
      <c r="H130" s="217"/>
      <c r="I130" s="154"/>
      <c r="J130" s="193"/>
      <c r="K130" s="220"/>
      <c r="L130" s="154"/>
      <c r="M130" s="154"/>
      <c r="N130" s="154"/>
      <c r="P130" s="154"/>
      <c r="S130" s="219">
        <f>S63+S64+S69+S70+S71+S72+S80+S95+S96</f>
        <v>3219022049</v>
      </c>
      <c r="T130" s="219">
        <f>T44+T95</f>
        <v>541945390</v>
      </c>
      <c r="U130" s="154"/>
      <c r="V130" s="154"/>
      <c r="X130" s="154"/>
      <c r="Z130" s="219"/>
      <c r="AB130" s="154"/>
      <c r="AG130" s="154"/>
      <c r="AI130" s="219"/>
    </row>
    <row r="131" spans="1:35">
      <c r="F131" s="154"/>
      <c r="I131" s="219"/>
      <c r="K131" s="218"/>
      <c r="L131" s="154"/>
      <c r="R131" s="217">
        <f>R104+R105+R108+R111+R115+R119+R69+R70+R71+R72+R63+R64+R32+R33+R34</f>
        <v>8409579422</v>
      </c>
      <c r="S131" s="219"/>
      <c r="V131" s="154"/>
      <c r="X131" s="219"/>
    </row>
    <row r="132" spans="1:35">
      <c r="L132" s="154"/>
      <c r="Y132" s="154"/>
      <c r="AD132" s="169" t="s">
        <v>120</v>
      </c>
      <c r="AE132" s="176">
        <v>35472809</v>
      </c>
      <c r="AF132" s="169" t="s">
        <v>128</v>
      </c>
      <c r="AG132" s="222">
        <f>12601000+58786100+70661200</f>
        <v>142048300</v>
      </c>
      <c r="AH132" s="169" t="s">
        <v>131</v>
      </c>
      <c r="AI132" s="176">
        <v>24220575</v>
      </c>
    </row>
    <row r="133" spans="1:35">
      <c r="C133" s="150"/>
      <c r="D133" s="150"/>
      <c r="H133" s="219"/>
      <c r="R133" s="219">
        <f>R126-R131</f>
        <v>3545623722</v>
      </c>
      <c r="AD133" s="169" t="s">
        <v>121</v>
      </c>
      <c r="AE133" s="176">
        <v>14204180</v>
      </c>
      <c r="AF133" s="169" t="s">
        <v>129</v>
      </c>
      <c r="AG133" s="222">
        <v>1130000</v>
      </c>
      <c r="AH133" s="169" t="s">
        <v>132</v>
      </c>
      <c r="AI133" s="176">
        <v>29013000</v>
      </c>
    </row>
    <row r="134" spans="1:35">
      <c r="O134" s="150" t="s">
        <v>375</v>
      </c>
      <c r="S134" s="185">
        <v>44256</v>
      </c>
      <c r="U134" s="185"/>
      <c r="AD134" s="169" t="s">
        <v>122</v>
      </c>
      <c r="AE134" s="176">
        <v>38068270</v>
      </c>
      <c r="AF134" s="169" t="s">
        <v>130</v>
      </c>
      <c r="AG134" s="222">
        <v>124601500</v>
      </c>
      <c r="AH134" s="169" t="s">
        <v>127</v>
      </c>
      <c r="AI134" s="176">
        <v>43960805</v>
      </c>
    </row>
    <row r="135" spans="1:35">
      <c r="C135" s="150"/>
      <c r="D135" s="150"/>
      <c r="M135" s="223"/>
      <c r="N135" s="223"/>
      <c r="O135" s="223" t="s">
        <v>376</v>
      </c>
      <c r="P135" s="223"/>
      <c r="Q135" s="223"/>
      <c r="R135" s="223"/>
      <c r="S135" s="223"/>
      <c r="T135" s="223"/>
      <c r="U135" s="223"/>
      <c r="V135" s="223"/>
      <c r="AD135" s="169" t="s">
        <v>123</v>
      </c>
      <c r="AE135" s="176">
        <v>37755482</v>
      </c>
      <c r="AF135" s="192" t="s">
        <v>6</v>
      </c>
      <c r="AG135" s="224">
        <f>SUM(AG132:AG134)</f>
        <v>267779800</v>
      </c>
      <c r="AH135" s="169" t="s">
        <v>133</v>
      </c>
      <c r="AI135" s="176">
        <v>16297393</v>
      </c>
    </row>
    <row r="136" spans="1:35">
      <c r="C136" s="150"/>
      <c r="D136" s="150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395" t="s">
        <v>240</v>
      </c>
      <c r="X136" s="395"/>
      <c r="Y136" s="395"/>
      <c r="Z136" s="395"/>
      <c r="AB136" s="150" t="s">
        <v>112</v>
      </c>
      <c r="AD136" s="169" t="s">
        <v>124</v>
      </c>
      <c r="AE136" s="176">
        <v>120074200</v>
      </c>
      <c r="AG136" s="154"/>
      <c r="AH136" s="169" t="s">
        <v>134</v>
      </c>
      <c r="AI136" s="176">
        <v>71402128</v>
      </c>
    </row>
    <row r="137" spans="1:35">
      <c r="C137" s="150"/>
      <c r="D137" s="150"/>
      <c r="F137" s="150" t="s">
        <v>111</v>
      </c>
      <c r="H137" s="150" t="s">
        <v>265</v>
      </c>
      <c r="J137" s="193">
        <v>623913283</v>
      </c>
      <c r="M137" s="223"/>
      <c r="N137" s="223"/>
      <c r="O137" s="223"/>
      <c r="P137" s="223"/>
      <c r="Q137" s="223" t="s">
        <v>108</v>
      </c>
      <c r="R137" s="223"/>
      <c r="S137" s="223"/>
      <c r="T137" s="223"/>
      <c r="U137" s="223"/>
      <c r="V137" s="223"/>
      <c r="AC137" s="150" t="s">
        <v>111</v>
      </c>
      <c r="AD137" s="169" t="s">
        <v>125</v>
      </c>
      <c r="AE137" s="176">
        <v>39264697</v>
      </c>
      <c r="AG137" s="154"/>
      <c r="AH137" s="169" t="s">
        <v>135</v>
      </c>
      <c r="AI137" s="176">
        <v>70219456</v>
      </c>
    </row>
    <row r="138" spans="1:35">
      <c r="C138" s="150"/>
      <c r="D138" s="150"/>
      <c r="J138" s="193">
        <v>-9536328</v>
      </c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5" t="s">
        <v>229</v>
      </c>
      <c r="X138" s="225" t="s">
        <v>230</v>
      </c>
      <c r="Y138" s="225" t="s">
        <v>231</v>
      </c>
      <c r="Z138" s="225" t="s">
        <v>233</v>
      </c>
      <c r="AD138" s="169" t="s">
        <v>126</v>
      </c>
      <c r="AE138" s="176">
        <v>3066461</v>
      </c>
      <c r="AG138" s="154"/>
      <c r="AH138" s="169" t="s">
        <v>120</v>
      </c>
      <c r="AI138" s="176">
        <v>6461250</v>
      </c>
    </row>
    <row r="139" spans="1:35">
      <c r="C139" s="150"/>
      <c r="D139" s="150"/>
      <c r="F139" s="150" t="s">
        <v>111</v>
      </c>
      <c r="J139" s="193">
        <v>-35329927</v>
      </c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6">
        <v>44398</v>
      </c>
      <c r="X139" s="169" t="s">
        <v>232</v>
      </c>
      <c r="Y139" s="176">
        <v>1250000</v>
      </c>
      <c r="Z139" s="169" t="s">
        <v>234</v>
      </c>
      <c r="AD139" s="169" t="s">
        <v>127</v>
      </c>
      <c r="AE139" s="176">
        <v>1150000</v>
      </c>
      <c r="AG139" s="154"/>
      <c r="AH139" s="169" t="s">
        <v>121</v>
      </c>
      <c r="AI139" s="176">
        <v>2735500</v>
      </c>
    </row>
    <row r="140" spans="1:35">
      <c r="C140" s="150"/>
      <c r="D140" s="150"/>
      <c r="J140" s="193">
        <v>-94644000</v>
      </c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6">
        <v>44398</v>
      </c>
      <c r="X140" s="169" t="s">
        <v>235</v>
      </c>
      <c r="Y140" s="176">
        <v>5758500</v>
      </c>
      <c r="Z140" s="169" t="s">
        <v>238</v>
      </c>
      <c r="AD140" s="192" t="s">
        <v>6</v>
      </c>
      <c r="AE140" s="227">
        <f>SUM(AE132:AE139)</f>
        <v>289056099</v>
      </c>
      <c r="AH140" s="169" t="s">
        <v>136</v>
      </c>
      <c r="AI140" s="176">
        <v>26692000</v>
      </c>
    </row>
    <row r="141" spans="1:35">
      <c r="C141" s="150"/>
      <c r="D141" s="150"/>
      <c r="J141" s="193">
        <v>-5550198</v>
      </c>
      <c r="M141" s="223" t="s">
        <v>97</v>
      </c>
      <c r="N141" s="223"/>
      <c r="O141" s="223"/>
      <c r="P141" s="223"/>
      <c r="Q141" s="223"/>
      <c r="R141" s="223"/>
      <c r="S141" s="223"/>
      <c r="T141" s="223"/>
      <c r="U141" s="223"/>
      <c r="V141" s="223"/>
      <c r="W141" s="226">
        <v>44398</v>
      </c>
      <c r="X141" s="169" t="s">
        <v>235</v>
      </c>
      <c r="Y141" s="176">
        <v>33905000</v>
      </c>
      <c r="Z141" s="169" t="s">
        <v>239</v>
      </c>
      <c r="AH141" s="169" t="s">
        <v>123</v>
      </c>
      <c r="AI141" s="176">
        <v>27332750</v>
      </c>
    </row>
    <row r="142" spans="1:35">
      <c r="C142" s="150"/>
      <c r="D142" s="150"/>
      <c r="J142" s="193">
        <v>-61641742</v>
      </c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6">
        <v>44398</v>
      </c>
      <c r="X142" s="169" t="s">
        <v>236</v>
      </c>
      <c r="Y142" s="176">
        <f>1050000+2100000</f>
        <v>3150000</v>
      </c>
      <c r="Z142" s="169" t="s">
        <v>237</v>
      </c>
      <c r="AH142" s="169" t="s">
        <v>124</v>
      </c>
      <c r="AI142" s="176">
        <v>46899155</v>
      </c>
    </row>
    <row r="143" spans="1:35">
      <c r="C143" s="150"/>
      <c r="D143" s="150"/>
      <c r="J143" s="193">
        <v>-3124130</v>
      </c>
      <c r="O143" s="228"/>
      <c r="P143" s="228"/>
      <c r="Q143" s="228"/>
      <c r="R143" s="228"/>
      <c r="S143" s="228"/>
      <c r="T143" s="228"/>
      <c r="U143" s="228"/>
      <c r="V143" s="229"/>
      <c r="W143" s="228"/>
      <c r="Y143" s="154"/>
      <c r="AH143" s="169" t="s">
        <v>125</v>
      </c>
      <c r="AI143" s="176">
        <v>43312000</v>
      </c>
    </row>
    <row r="144" spans="1:35">
      <c r="C144" s="150"/>
      <c r="D144" s="154">
        <v>703736164</v>
      </c>
      <c r="J144" s="193">
        <f>SUM(J137:J143)</f>
        <v>414086958</v>
      </c>
      <c r="O144" s="228"/>
      <c r="P144" s="228"/>
      <c r="Q144" s="228"/>
      <c r="R144" s="228"/>
      <c r="S144" s="228"/>
      <c r="T144" s="228"/>
      <c r="U144" s="228"/>
      <c r="V144" s="229"/>
      <c r="W144" s="228"/>
      <c r="X144" s="150" t="s">
        <v>241</v>
      </c>
      <c r="Y144" s="219">
        <f>SUM(Y139:Y143)</f>
        <v>44063500</v>
      </c>
      <c r="AD144" s="150" t="s">
        <v>108</v>
      </c>
      <c r="AH144" s="169" t="s">
        <v>138</v>
      </c>
      <c r="AI144" s="176">
        <v>2134000</v>
      </c>
    </row>
    <row r="145" spans="3:35">
      <c r="C145" s="150"/>
      <c r="D145" s="154"/>
      <c r="E145" s="154">
        <v>3913100</v>
      </c>
      <c r="O145" s="228"/>
      <c r="P145" s="228"/>
      <c r="Q145" s="228"/>
      <c r="R145" s="228"/>
      <c r="S145" s="228"/>
      <c r="T145" s="228"/>
      <c r="U145" s="228"/>
      <c r="V145" s="228"/>
      <c r="W145" s="228"/>
      <c r="AH145" s="169" t="s">
        <v>137</v>
      </c>
      <c r="AI145" s="176">
        <v>353453</v>
      </c>
    </row>
    <row r="146" spans="3:35">
      <c r="D146" s="193"/>
      <c r="E146" s="154">
        <v>5857200</v>
      </c>
      <c r="AH146" s="192" t="s">
        <v>6</v>
      </c>
      <c r="AI146" s="227">
        <f>SUM(AI132:AI145)</f>
        <v>411033465</v>
      </c>
    </row>
    <row r="147" spans="3:35">
      <c r="D147" s="193"/>
      <c r="E147" s="154">
        <v>4120000</v>
      </c>
      <c r="AF147" s="150" t="s">
        <v>111</v>
      </c>
      <c r="AI147" s="154"/>
    </row>
    <row r="148" spans="3:35">
      <c r="D148" s="193"/>
      <c r="E148" s="154">
        <v>1750000</v>
      </c>
      <c r="AI148" s="154"/>
    </row>
    <row r="149" spans="3:35">
      <c r="D149" s="193"/>
      <c r="E149" s="154">
        <v>1350000</v>
      </c>
      <c r="AD149" s="150" t="s">
        <v>415</v>
      </c>
      <c r="AI149" s="154"/>
    </row>
    <row r="150" spans="3:35">
      <c r="D150" s="193"/>
      <c r="E150" s="154">
        <v>27759800</v>
      </c>
      <c r="AI150" s="154"/>
    </row>
    <row r="151" spans="3:35">
      <c r="C151" s="150"/>
      <c r="D151" s="154"/>
      <c r="E151" s="154">
        <v>27759800</v>
      </c>
      <c r="J151" s="150"/>
      <c r="K151" s="150"/>
      <c r="AI151" s="154"/>
    </row>
    <row r="152" spans="3:35">
      <c r="C152" s="150"/>
      <c r="D152" s="154"/>
      <c r="E152" s="154">
        <v>27759800</v>
      </c>
      <c r="J152" s="150"/>
      <c r="K152" s="150"/>
      <c r="AI152" s="154"/>
    </row>
    <row r="153" spans="3:35">
      <c r="D153" s="193"/>
      <c r="F153" s="219">
        <f>SUM(E145:E153)</f>
        <v>100269700</v>
      </c>
      <c r="X153" s="154">
        <v>166383008</v>
      </c>
      <c r="Y153" s="154">
        <v>147140180</v>
      </c>
      <c r="Z153" s="154">
        <v>128278080</v>
      </c>
      <c r="AA153" s="154">
        <v>202215000</v>
      </c>
    </row>
    <row r="154" spans="3:35">
      <c r="X154" s="150" t="e">
        <f ca="1">[3]!terbilang(X153)</f>
        <v>#NAME?</v>
      </c>
      <c r="Y154" s="150" t="e">
        <f ca="1">[3]!terbilang(Y153)</f>
        <v>#NAME?</v>
      </c>
      <c r="Z154" s="150" t="e">
        <f ca="1">[3]!terbilang(Z153)</f>
        <v>#NAME?</v>
      </c>
      <c r="AA154" s="150" t="e">
        <f ca="1">[3]!terbilang(AA153)</f>
        <v>#NAME?</v>
      </c>
    </row>
    <row r="155" spans="3:35">
      <c r="U155" s="150" t="s">
        <v>111</v>
      </c>
      <c r="X155" s="154"/>
      <c r="Y155" s="154"/>
      <c r="Z155" s="154"/>
      <c r="AA155" s="154"/>
      <c r="AB155" s="154"/>
    </row>
    <row r="156" spans="3:35">
      <c r="X156" s="154">
        <v>10376217</v>
      </c>
      <c r="Y156" s="154">
        <v>17490342</v>
      </c>
      <c r="Z156" s="154">
        <v>8657321</v>
      </c>
      <c r="AA156" s="154">
        <v>17681319</v>
      </c>
      <c r="AB156" s="154"/>
    </row>
    <row r="157" spans="3:35">
      <c r="X157" s="154" t="e">
        <f ca="1">[3]!terbilang(X156)</f>
        <v>#NAME?</v>
      </c>
      <c r="Y157" s="154" t="e">
        <f ca="1">[3]!terbilang(Y156)</f>
        <v>#NAME?</v>
      </c>
      <c r="Z157" s="154" t="e">
        <f ca="1">[3]!terbilang(Z156)</f>
        <v>#NAME?</v>
      </c>
      <c r="AA157" s="154" t="e">
        <f ca="1">[3]!terbilang(AA156)</f>
        <v>#NAME?</v>
      </c>
      <c r="AB157" s="154"/>
    </row>
    <row r="158" spans="3:35">
      <c r="X158" s="154">
        <v>21551345</v>
      </c>
      <c r="Y158" s="154">
        <v>14487839</v>
      </c>
      <c r="Z158" s="154">
        <v>20459124</v>
      </c>
      <c r="AA158" s="154">
        <v>10188080</v>
      </c>
      <c r="AB158" s="154">
        <v>23634399</v>
      </c>
      <c r="AC158" s="150">
        <v>15927164</v>
      </c>
      <c r="AD158" s="150">
        <v>61928963</v>
      </c>
      <c r="AE158" s="150">
        <v>37466006</v>
      </c>
      <c r="AF158" s="150">
        <v>51932790</v>
      </c>
      <c r="AG158" s="150">
        <v>22588681</v>
      </c>
    </row>
    <row r="159" spans="3:35">
      <c r="D159" s="182">
        <v>1931403306</v>
      </c>
      <c r="E159" s="150">
        <v>3913100</v>
      </c>
      <c r="F159" s="150">
        <v>5857200</v>
      </c>
      <c r="G159" s="150">
        <v>1350000</v>
      </c>
      <c r="X159" s="154" t="e">
        <f ca="1">[3]!terbilang(X158)</f>
        <v>#NAME?</v>
      </c>
      <c r="Y159" s="154" t="e">
        <f ca="1">[3]!terbilang(Y158)</f>
        <v>#NAME?</v>
      </c>
      <c r="Z159" s="154" t="e">
        <f ca="1">[3]!terbilang(Z158)</f>
        <v>#NAME?</v>
      </c>
      <c r="AA159" s="154" t="e">
        <f ca="1">[3]!terbilang(AA158)</f>
        <v>#NAME?</v>
      </c>
      <c r="AB159" s="150" t="e">
        <f ca="1">[3]!terbilang(AB158)</f>
        <v>#NAME?</v>
      </c>
      <c r="AC159" s="150" t="e">
        <f ca="1">[3]!terbilang(AC158)</f>
        <v>#NAME?</v>
      </c>
      <c r="AD159" s="150" t="e">
        <f ca="1">[3]!terbilang(AD158)</f>
        <v>#NAME?</v>
      </c>
      <c r="AE159" s="150" t="e">
        <f ca="1">[3]!terbilang(AE158)</f>
        <v>#NAME?</v>
      </c>
      <c r="AF159" s="150" t="e">
        <f ca="1">[3]!terbilang(AF158)</f>
        <v>#NAME?</v>
      </c>
      <c r="AG159" s="150" t="e">
        <f ca="1">[3]!terbilang(AG158)</f>
        <v>#NAME?</v>
      </c>
    </row>
    <row r="160" spans="3:35">
      <c r="D160" s="182" t="e">
        <f ca="1">[3]!terbilang(D159)</f>
        <v>#NAME?</v>
      </c>
      <c r="E160" s="182" t="e">
        <f ca="1">[3]!terbilang(E159)</f>
        <v>#NAME?</v>
      </c>
      <c r="F160" s="182" t="e">
        <f ca="1">[3]!terbilang(F159)</f>
        <v>#NAME?</v>
      </c>
      <c r="G160" s="182" t="e">
        <f ca="1">[3]!terbilang(G159)</f>
        <v>#NAME?</v>
      </c>
      <c r="X160" s="154">
        <v>39758552</v>
      </c>
      <c r="Y160" s="154">
        <v>36564751</v>
      </c>
      <c r="Z160" s="154">
        <v>25121705</v>
      </c>
      <c r="AA160" s="154">
        <v>21791175</v>
      </c>
      <c r="AB160" s="154"/>
    </row>
    <row r="161" spans="4:33" s="150" customFormat="1">
      <c r="D161" s="182">
        <v>27759800</v>
      </c>
      <c r="E161" s="150">
        <v>27759800</v>
      </c>
      <c r="F161" s="150">
        <v>27759800</v>
      </c>
      <c r="J161" s="182"/>
      <c r="K161" s="182"/>
      <c r="X161" s="154" t="e">
        <f ca="1">[3]!terbilang(X160)</f>
        <v>#NAME?</v>
      </c>
      <c r="Y161" s="154" t="e">
        <f ca="1">[3]!terbilang(Y160)</f>
        <v>#NAME?</v>
      </c>
      <c r="Z161" s="154" t="e">
        <f ca="1">[3]!terbilang(Z160)</f>
        <v>#NAME?</v>
      </c>
      <c r="AA161" s="154" t="e">
        <f ca="1">[3]!terbilang(AA160)</f>
        <v>#NAME?</v>
      </c>
      <c r="AB161" s="154">
        <v>350000000</v>
      </c>
      <c r="AC161" s="154">
        <v>306000000</v>
      </c>
      <c r="AD161" s="154">
        <v>65762290</v>
      </c>
      <c r="AE161" s="154"/>
      <c r="AF161" s="154"/>
      <c r="AG161" s="154"/>
    </row>
    <row r="162" spans="4:33" s="150" customFormat="1">
      <c r="D162" s="182" t="e">
        <f ca="1">[3]!terbilang(D161)</f>
        <v>#NAME?</v>
      </c>
      <c r="E162" s="182" t="e">
        <f ca="1">[3]!terbilang(E161)</f>
        <v>#NAME?</v>
      </c>
      <c r="F162" s="182" t="e">
        <f ca="1">[3]!terbilang(F161)</f>
        <v>#NAME?</v>
      </c>
      <c r="G162" s="182" t="e">
        <f ca="1">[3]!terbilang(G161)</f>
        <v>#NAME?</v>
      </c>
      <c r="H162" s="182" t="e">
        <f ca="1">[3]!terbilang(H161)</f>
        <v>#NAME?</v>
      </c>
      <c r="J162" s="182"/>
      <c r="K162" s="182"/>
      <c r="X162" s="154"/>
      <c r="Y162" s="154"/>
      <c r="Z162" s="154"/>
      <c r="AA162" s="154"/>
      <c r="AB162" s="150" t="e">
        <f ca="1">[3]!terbilang(AB161)</f>
        <v>#NAME?</v>
      </c>
      <c r="AC162" s="150" t="e">
        <f ca="1">[3]!terbilang(AC161)</f>
        <v>#NAME?</v>
      </c>
      <c r="AD162" s="150" t="e">
        <f ca="1">[3]!terbilang(AD161)</f>
        <v>#NAME?</v>
      </c>
      <c r="AE162" s="150" t="e">
        <f ca="1">[3]!terbilang(AE161)</f>
        <v>#NAME?</v>
      </c>
      <c r="AF162" s="150" t="e">
        <f ca="1">[3]!terbilang(AF161)</f>
        <v>#NAME?</v>
      </c>
      <c r="AG162" s="154"/>
    </row>
    <row r="163" spans="4:33" s="150" customFormat="1">
      <c r="D163" s="182"/>
      <c r="J163" s="182"/>
      <c r="K163" s="182"/>
      <c r="X163" s="154">
        <v>96987011</v>
      </c>
      <c r="Y163" s="154">
        <v>128101680</v>
      </c>
      <c r="Z163" s="154">
        <v>79893559</v>
      </c>
      <c r="AA163" s="154">
        <v>911072035</v>
      </c>
      <c r="AB163" s="154">
        <v>70661200</v>
      </c>
      <c r="AC163" s="154">
        <v>58786100</v>
      </c>
      <c r="AD163" s="154">
        <v>12601000</v>
      </c>
      <c r="AE163" s="154"/>
      <c r="AF163" s="154"/>
      <c r="AG163" s="154"/>
    </row>
    <row r="164" spans="4:33" s="150" customFormat="1">
      <c r="D164" s="182"/>
      <c r="J164" s="182"/>
      <c r="K164" s="182"/>
      <c r="X164" s="150" t="e">
        <f ca="1">[3]!terbilang(X163)</f>
        <v>#NAME?</v>
      </c>
      <c r="Y164" s="150" t="e">
        <f ca="1">[3]!terbilang(Y163)</f>
        <v>#NAME?</v>
      </c>
      <c r="Z164" s="150" t="e">
        <f ca="1">[3]!terbilang(Z163)</f>
        <v>#NAME?</v>
      </c>
      <c r="AA164" s="150" t="e">
        <f ca="1">[3]!terbilang(AA163)</f>
        <v>#NAME?</v>
      </c>
      <c r="AB164" s="150" t="e">
        <f ca="1">[3]!terbilang(AB163)</f>
        <v>#NAME?</v>
      </c>
      <c r="AC164" s="150" t="e">
        <f ca="1">[3]!terbilang(AC163)</f>
        <v>#NAME?</v>
      </c>
      <c r="AD164" s="150" t="e">
        <f ca="1">[3]!terbilang(AD163)</f>
        <v>#NAME?</v>
      </c>
      <c r="AE164" s="150" t="e">
        <f ca="1">[3]!terbilang(AE163)</f>
        <v>#NAME?</v>
      </c>
      <c r="AF164" s="154"/>
      <c r="AG164" s="154"/>
    </row>
    <row r="165" spans="4:33" s="150" customFormat="1">
      <c r="D165" s="182"/>
      <c r="J165" s="182"/>
      <c r="K165" s="182"/>
      <c r="X165" s="154">
        <v>4593322</v>
      </c>
      <c r="Y165" s="154">
        <v>3768253687</v>
      </c>
      <c r="Z165" s="154">
        <v>19964822</v>
      </c>
      <c r="AA165" s="154">
        <v>11093374</v>
      </c>
      <c r="AB165" s="154">
        <v>26650156</v>
      </c>
      <c r="AC165" s="154">
        <v>11406117</v>
      </c>
      <c r="AD165" s="154">
        <v>5986700</v>
      </c>
      <c r="AE165" s="154"/>
      <c r="AF165" s="154"/>
      <c r="AG165" s="154"/>
    </row>
    <row r="166" spans="4:33" s="150" customFormat="1">
      <c r="D166" s="182"/>
      <c r="J166" s="182"/>
      <c r="K166" s="182"/>
      <c r="X166" s="150" t="e">
        <f ca="1">[3]!terbilang(X165)</f>
        <v>#NAME?</v>
      </c>
      <c r="Y166" s="150" t="e">
        <f ca="1">[3]!terbilang(Y165)</f>
        <v>#NAME?</v>
      </c>
      <c r="Z166" s="150" t="e">
        <f ca="1">[3]!terbilang(Z165)</f>
        <v>#NAME?</v>
      </c>
      <c r="AA166" s="150" t="e">
        <f ca="1">[3]!terbilang(AA165)</f>
        <v>#NAME?</v>
      </c>
      <c r="AB166" s="150" t="e">
        <f ca="1">[3]!terbilang(AB165)</f>
        <v>#NAME?</v>
      </c>
      <c r="AC166" s="150" t="e">
        <f ca="1">[3]!terbilang(AC165)</f>
        <v>#NAME?</v>
      </c>
      <c r="AD166" s="150" t="e">
        <f ca="1">[3]!terbilang(AD165)</f>
        <v>#NAME?</v>
      </c>
      <c r="AE166" s="150" t="e">
        <f ca="1">[3]!terbilang(AE165)</f>
        <v>#NAME?</v>
      </c>
      <c r="AF166" s="150" t="e">
        <f ca="1">[3]!terbilang(AF165)</f>
        <v>#NAME?</v>
      </c>
      <c r="AG166" s="154"/>
    </row>
    <row r="167" spans="4:33" s="150" customFormat="1">
      <c r="D167" s="182"/>
      <c r="J167" s="182"/>
      <c r="K167" s="182"/>
      <c r="U167" s="150" t="s">
        <v>111</v>
      </c>
      <c r="X167" s="154">
        <v>2500000</v>
      </c>
      <c r="AB167" s="154">
        <v>15417685</v>
      </c>
      <c r="AC167" s="154">
        <v>21553867</v>
      </c>
      <c r="AD167" s="154">
        <v>26129304</v>
      </c>
      <c r="AE167" s="154"/>
      <c r="AF167" s="154"/>
      <c r="AG167" s="154"/>
    </row>
    <row r="168" spans="4:33" s="150" customFormat="1">
      <c r="D168" s="182"/>
      <c r="J168" s="182"/>
      <c r="K168" s="182"/>
      <c r="X168" s="150" t="e">
        <f ca="1">[3]!terbilang(X167)</f>
        <v>#NAME?</v>
      </c>
      <c r="AB168" s="150" t="e">
        <f ca="1">[3]!terbilang(AB167)</f>
        <v>#NAME?</v>
      </c>
      <c r="AC168" s="150" t="e">
        <f ca="1">[3]!terbilang(AC167)</f>
        <v>#NAME?</v>
      </c>
      <c r="AD168" s="150" t="e">
        <f ca="1">[3]!terbilang(AD167)</f>
        <v>#NAME?</v>
      </c>
    </row>
    <row r="169" spans="4:33" s="150" customFormat="1">
      <c r="D169" s="182"/>
      <c r="J169" s="182"/>
      <c r="K169" s="182"/>
      <c r="Z169" s="154">
        <v>3803100</v>
      </c>
      <c r="AA169" s="154">
        <v>2083852</v>
      </c>
      <c r="AB169" s="154">
        <v>2573000</v>
      </c>
      <c r="AC169" s="154">
        <v>2960150</v>
      </c>
      <c r="AD169" s="154">
        <v>1560000</v>
      </c>
    </row>
    <row r="170" spans="4:33" s="150" customFormat="1">
      <c r="D170" s="182"/>
      <c r="J170" s="182"/>
      <c r="K170" s="182"/>
      <c r="Z170" s="154"/>
      <c r="AA170" s="154"/>
      <c r="AB170" s="150" t="e">
        <f ca="1">[3]!terbilang(AB169)</f>
        <v>#NAME?</v>
      </c>
      <c r="AC170" s="150" t="e">
        <f ca="1">[3]!terbilang(AC169)</f>
        <v>#NAME?</v>
      </c>
      <c r="AD170" s="150" t="e">
        <f ca="1">[3]!terbilang(AD169)</f>
        <v>#NAME?</v>
      </c>
      <c r="AE170" s="150" t="e">
        <f ca="1">[3]!terbilang(AE169)</f>
        <v>#NAME?</v>
      </c>
    </row>
    <row r="171" spans="4:33" s="150" customFormat="1">
      <c r="D171" s="182"/>
      <c r="J171" s="182"/>
      <c r="K171" s="182"/>
      <c r="Z171" s="154"/>
      <c r="AA171" s="154"/>
      <c r="AB171" s="154"/>
      <c r="AC171" s="154"/>
      <c r="AD171" s="154"/>
    </row>
    <row r="172" spans="4:33" s="150" customFormat="1">
      <c r="D172" s="182"/>
      <c r="J172" s="182"/>
      <c r="K172" s="182"/>
      <c r="Z172" s="150" t="e">
        <f ca="1">[3]!terbilang(Z169)</f>
        <v>#NAME?</v>
      </c>
      <c r="AA172" s="150" t="e">
        <f ca="1">[3]!terbilang(AA169)</f>
        <v>#NAME?</v>
      </c>
      <c r="AB172" s="150" t="e">
        <f ca="1">[3]!terbilang(AB169)</f>
        <v>#NAME?</v>
      </c>
      <c r="AC172" s="150" t="e">
        <f ca="1">[3]!terbilang(AC169)</f>
        <v>#NAME?</v>
      </c>
      <c r="AD172" s="150" t="e">
        <f ca="1">[3]!terbilang(AD169)</f>
        <v>#NAME?</v>
      </c>
    </row>
    <row r="173" spans="4:33" s="150" customFormat="1">
      <c r="D173" s="182"/>
      <c r="J173" s="182"/>
      <c r="K173" s="182"/>
      <c r="Z173" s="154">
        <v>162108000</v>
      </c>
      <c r="AA173" s="154">
        <v>3314369</v>
      </c>
      <c r="AB173" s="154">
        <v>466083736</v>
      </c>
      <c r="AC173" s="154">
        <v>90719750</v>
      </c>
      <c r="AD173" s="154">
        <v>3387791</v>
      </c>
    </row>
    <row r="174" spans="4:33" s="150" customFormat="1">
      <c r="D174" s="182"/>
      <c r="J174" s="182"/>
      <c r="K174" s="182"/>
      <c r="Z174" s="150" t="e">
        <f ca="1">[3]!terbilang(Z173)</f>
        <v>#NAME?</v>
      </c>
      <c r="AA174" s="150" t="e">
        <f ca="1">[3]!terbilang(AA173)</f>
        <v>#NAME?</v>
      </c>
      <c r="AB174" s="150" t="e">
        <f ca="1">[3]!terbilang(AB173)</f>
        <v>#NAME?</v>
      </c>
      <c r="AC174" s="150" t="e">
        <f ca="1">[3]!terbilang(AC173)</f>
        <v>#NAME?</v>
      </c>
      <c r="AD174" s="150" t="e">
        <f ca="1">[3]!terbilang(AD173)</f>
        <v>#NAME?</v>
      </c>
    </row>
    <row r="175" spans="4:33" s="150" customFormat="1">
      <c r="D175" s="182"/>
      <c r="J175" s="182"/>
      <c r="K175" s="182"/>
      <c r="Z175" s="154">
        <v>946507657</v>
      </c>
      <c r="AA175" s="154">
        <v>1492983000</v>
      </c>
      <c r="AB175" s="154"/>
      <c r="AC175" s="154"/>
      <c r="AD175" s="154"/>
    </row>
    <row r="176" spans="4:33" s="150" customFormat="1">
      <c r="D176" s="182"/>
      <c r="J176" s="182"/>
      <c r="K176" s="182"/>
      <c r="Z176" s="150" t="e">
        <f ca="1">[3]!terbilang(Z175)</f>
        <v>#NAME?</v>
      </c>
      <c r="AA176" s="150" t="e">
        <f ca="1">[3]!terbilang(AA175)</f>
        <v>#NAME?</v>
      </c>
      <c r="AB176" s="154"/>
      <c r="AC176" s="154"/>
      <c r="AD176" s="154"/>
    </row>
    <row r="177" spans="24:31" s="150" customFormat="1">
      <c r="Z177" s="154"/>
      <c r="AA177" s="154"/>
      <c r="AB177" s="154"/>
      <c r="AC177" s="154"/>
      <c r="AD177" s="154"/>
    </row>
    <row r="178" spans="24:31" s="150" customFormat="1">
      <c r="Z178" s="154"/>
      <c r="AA178" s="154" t="s">
        <v>104</v>
      </c>
      <c r="AB178" s="154"/>
      <c r="AC178" s="154"/>
      <c r="AD178" s="154"/>
    </row>
    <row r="179" spans="24:31" s="150" customFormat="1">
      <c r="Z179" s="154"/>
      <c r="AA179" s="154"/>
      <c r="AB179" s="154"/>
      <c r="AC179" s="154"/>
      <c r="AD179" s="154"/>
    </row>
    <row r="180" spans="24:31" s="150" customFormat="1">
      <c r="Z180" s="154"/>
      <c r="AA180" s="154">
        <v>35000000</v>
      </c>
      <c r="AB180" s="154">
        <v>64342960</v>
      </c>
      <c r="AC180" s="154">
        <v>1064412557</v>
      </c>
      <c r="AD180" s="154">
        <v>1870843551</v>
      </c>
      <c r="AE180" s="154"/>
    </row>
    <row r="181" spans="24:31" s="150" customFormat="1">
      <c r="AA181" s="154" t="e">
        <f ca="1">[3]!terbilang(AA180)</f>
        <v>#NAME?</v>
      </c>
      <c r="AB181" s="154" t="e">
        <f ca="1">[3]!terbilang(AB180)</f>
        <v>#NAME?</v>
      </c>
      <c r="AC181" s="154" t="e">
        <f ca="1">[3]!terbilang(AC180)</f>
        <v>#NAME?</v>
      </c>
      <c r="AD181" s="154" t="e">
        <f ca="1">[3]!terbilang(AD180)</f>
        <v>#NAME?</v>
      </c>
      <c r="AE181" s="154"/>
    </row>
    <row r="182" spans="24:31" s="150" customFormat="1">
      <c r="AA182" s="154">
        <v>1944114009</v>
      </c>
      <c r="AB182" s="154">
        <v>1129404778</v>
      </c>
      <c r="AC182" s="154">
        <v>1897662926</v>
      </c>
      <c r="AD182" s="154"/>
      <c r="AE182" s="154"/>
    </row>
    <row r="183" spans="24:31" s="150" customFormat="1">
      <c r="AA183" s="154" t="e">
        <f ca="1">[3]!terbilang(AA182)</f>
        <v>#NAME?</v>
      </c>
      <c r="AB183" s="154" t="e">
        <f ca="1">[3]!terbilang(AB182)</f>
        <v>#NAME?</v>
      </c>
      <c r="AC183" s="154" t="e">
        <f ca="1">[3]!terbilang(AC182)</f>
        <v>#NAME?</v>
      </c>
      <c r="AD183" s="154" t="e">
        <f ca="1">[3]!terbilang(AD182)</f>
        <v>#NAME?</v>
      </c>
      <c r="AE183" s="154"/>
    </row>
    <row r="184" spans="24:31" s="150" customFormat="1">
      <c r="AA184" s="154"/>
      <c r="AB184" s="154"/>
      <c r="AC184" s="154"/>
      <c r="AD184" s="154"/>
      <c r="AE184" s="154"/>
    </row>
    <row r="187" spans="24:31" s="150" customFormat="1">
      <c r="X187" s="154">
        <v>782500</v>
      </c>
      <c r="Y187" s="154"/>
      <c r="Z187" s="154"/>
      <c r="AA187" s="154"/>
      <c r="AB187" s="154"/>
      <c r="AC187" s="154"/>
    </row>
    <row r="188" spans="24:31" s="150" customFormat="1">
      <c r="X188" s="154" t="e">
        <f ca="1">[3]!terbilang(X187)</f>
        <v>#NAME?</v>
      </c>
      <c r="Y188" s="154" t="e">
        <f ca="1">[3]!terbilang(Y187)</f>
        <v>#NAME?</v>
      </c>
      <c r="Z188" s="154" t="e">
        <f ca="1">[3]!terbilang(Z187)</f>
        <v>#NAME?</v>
      </c>
      <c r="AA188" s="154" t="e">
        <f ca="1">[3]!terbilang(AA187)</f>
        <v>#NAME?</v>
      </c>
      <c r="AB188" s="154"/>
      <c r="AC188" s="154"/>
    </row>
    <row r="189" spans="24:31" s="150" customFormat="1">
      <c r="X189" s="154"/>
      <c r="Y189" s="154"/>
      <c r="Z189" s="154"/>
      <c r="AA189" s="154"/>
      <c r="AB189" s="154"/>
      <c r="AC189" s="154"/>
    </row>
    <row r="190" spans="24:31" s="150" customFormat="1">
      <c r="X190" s="154"/>
      <c r="Y190" s="154"/>
      <c r="Z190" s="154"/>
      <c r="AA190" s="154"/>
      <c r="AB190" s="154"/>
      <c r="AC190" s="154"/>
    </row>
    <row r="191" spans="24:31" s="150" customFormat="1">
      <c r="X191" s="154"/>
      <c r="Y191" s="154"/>
      <c r="Z191" s="154"/>
      <c r="AA191" s="154"/>
      <c r="AB191" s="154"/>
      <c r="AC191" s="154"/>
    </row>
    <row r="192" spans="24:31" s="150" customFormat="1">
      <c r="X192" s="154"/>
      <c r="Y192" s="154"/>
      <c r="Z192" s="154"/>
      <c r="AA192" s="154"/>
      <c r="AB192" s="154"/>
      <c r="AC192" s="154"/>
    </row>
    <row r="193" spans="24:29" s="150" customFormat="1">
      <c r="X193" s="154"/>
      <c r="Y193" s="154"/>
      <c r="Z193" s="154"/>
      <c r="AA193" s="154"/>
      <c r="AB193" s="154"/>
      <c r="AC193" s="154"/>
    </row>
    <row r="194" spans="24:29" s="150" customFormat="1">
      <c r="X194" s="154"/>
      <c r="Y194" s="154"/>
      <c r="Z194" s="154"/>
      <c r="AA194" s="154"/>
      <c r="AB194" s="154"/>
      <c r="AC194" s="154"/>
    </row>
    <row r="195" spans="24:29" s="150" customFormat="1">
      <c r="X195" s="154"/>
      <c r="Y195" s="154"/>
      <c r="Z195" s="154"/>
      <c r="AA195" s="154"/>
      <c r="AB195" s="154"/>
      <c r="AC195" s="154"/>
    </row>
    <row r="196" spans="24:29" s="150" customFormat="1">
      <c r="X196" s="154"/>
      <c r="Y196" s="154"/>
      <c r="Z196" s="154"/>
      <c r="AA196" s="154"/>
      <c r="AB196" s="154"/>
      <c r="AC196" s="154"/>
    </row>
  </sheetData>
  <mergeCells count="3">
    <mergeCell ref="C4:AG4"/>
    <mergeCell ref="A124:B124"/>
    <mergeCell ref="W136:Z136"/>
  </mergeCells>
  <pageMargins left="0.7" right="0.7" top="0.75" bottom="0.75" header="0.3" footer="0.3"/>
  <pageSetup paperSize="9" scale="18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89"/>
  <sheetViews>
    <sheetView topLeftCell="O1" zoomScale="50" zoomScaleNormal="50" workbookViewId="0">
      <selection activeCell="AL46" sqref="AL46"/>
    </sheetView>
  </sheetViews>
  <sheetFormatPr defaultRowHeight="15.75"/>
  <cols>
    <col min="1" max="1" width="31.5703125" style="150" customWidth="1"/>
    <col min="2" max="2" width="6" style="150" customWidth="1"/>
    <col min="3" max="3" width="19.85546875" style="182" customWidth="1"/>
    <col min="4" max="4" width="18.7109375" style="182" customWidth="1"/>
    <col min="5" max="5" width="21.28515625" style="150" customWidth="1"/>
    <col min="6" max="6" width="20.85546875" style="150" customWidth="1"/>
    <col min="7" max="7" width="18.42578125" style="150" customWidth="1"/>
    <col min="8" max="8" width="22.140625" style="150" customWidth="1"/>
    <col min="9" max="9" width="21.42578125" style="150" customWidth="1"/>
    <col min="10" max="10" width="22.140625" style="182" customWidth="1"/>
    <col min="11" max="11" width="21" style="182" customWidth="1"/>
    <col min="12" max="12" width="19.85546875" style="150" customWidth="1"/>
    <col min="13" max="13" width="19" style="150" customWidth="1"/>
    <col min="14" max="14" width="19.42578125" style="150" customWidth="1"/>
    <col min="15" max="15" width="18.28515625" style="150" customWidth="1"/>
    <col min="16" max="16" width="19.85546875" style="150" customWidth="1"/>
    <col min="17" max="17" width="18.85546875" style="150" customWidth="1"/>
    <col min="18" max="18" width="20" style="150" customWidth="1"/>
    <col min="19" max="19" width="21.5703125" style="150" customWidth="1"/>
    <col min="20" max="20" width="23.28515625" style="150" customWidth="1"/>
    <col min="21" max="21" width="19.5703125" style="150" customWidth="1"/>
    <col min="22" max="22" width="19.42578125" style="150" customWidth="1"/>
    <col min="23" max="23" width="20.42578125" style="150" customWidth="1"/>
    <col min="24" max="25" width="20.7109375" style="150" customWidth="1"/>
    <col min="26" max="26" width="22.42578125" style="150" customWidth="1"/>
    <col min="27" max="27" width="21.7109375" style="150" customWidth="1"/>
    <col min="28" max="28" width="20.28515625" style="150" customWidth="1"/>
    <col min="29" max="29" width="18.5703125" style="150" customWidth="1"/>
    <col min="30" max="30" width="21.7109375" style="150" customWidth="1"/>
    <col min="31" max="31" width="22" style="150" customWidth="1"/>
    <col min="32" max="32" width="19" style="150" customWidth="1"/>
    <col min="33" max="34" width="21.7109375" style="150" customWidth="1"/>
    <col min="35" max="35" width="20.28515625" style="150" customWidth="1"/>
    <col min="36" max="36" width="18.140625" style="150" customWidth="1"/>
    <col min="37" max="37" width="12.85546875" style="150" customWidth="1"/>
    <col min="38" max="38" width="19.140625" style="150" customWidth="1"/>
    <col min="39" max="16384" width="9.140625" style="150"/>
  </cols>
  <sheetData>
    <row r="1" spans="1:36">
      <c r="A1" s="147" t="s">
        <v>0</v>
      </c>
      <c r="B1" s="148"/>
      <c r="C1" s="149"/>
      <c r="D1" s="149"/>
      <c r="E1" s="148"/>
      <c r="F1" s="148"/>
      <c r="G1" s="148"/>
      <c r="H1" s="148"/>
      <c r="I1" s="148"/>
      <c r="J1" s="149"/>
      <c r="K1" s="149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</row>
    <row r="2" spans="1:36" s="154" customFormat="1">
      <c r="A2" s="151" t="s">
        <v>1</v>
      </c>
      <c r="B2" s="152"/>
      <c r="C2" s="153"/>
      <c r="D2" s="153"/>
      <c r="E2" s="152"/>
      <c r="F2" s="152"/>
      <c r="G2" s="152"/>
      <c r="H2" s="152"/>
      <c r="I2" s="152"/>
      <c r="J2" s="153"/>
      <c r="K2" s="153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</row>
    <row r="3" spans="1:36">
      <c r="A3" s="155" t="s">
        <v>2</v>
      </c>
      <c r="B3" s="156">
        <v>44531</v>
      </c>
      <c r="C3" s="153"/>
      <c r="D3" s="153"/>
      <c r="E3" s="152"/>
      <c r="F3" s="152"/>
      <c r="G3" s="152"/>
      <c r="H3" s="152"/>
      <c r="I3" s="152"/>
      <c r="J3" s="153"/>
      <c r="K3" s="153"/>
      <c r="L3" s="152"/>
      <c r="M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</row>
    <row r="4" spans="1:36">
      <c r="A4" s="157" t="s">
        <v>3</v>
      </c>
      <c r="B4" s="158" t="s">
        <v>4</v>
      </c>
      <c r="C4" s="390" t="s">
        <v>5</v>
      </c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2"/>
      <c r="AH4" s="255"/>
      <c r="AI4" s="159" t="s">
        <v>6</v>
      </c>
      <c r="AJ4" s="154"/>
    </row>
    <row r="5" spans="1:36">
      <c r="A5" s="157"/>
      <c r="B5" s="158"/>
      <c r="C5" s="160">
        <v>336</v>
      </c>
      <c r="D5" s="160">
        <v>337</v>
      </c>
      <c r="E5" s="160">
        <v>338</v>
      </c>
      <c r="F5" s="160">
        <v>339</v>
      </c>
      <c r="G5" s="160">
        <v>340</v>
      </c>
      <c r="H5" s="160">
        <v>341</v>
      </c>
      <c r="I5" s="160">
        <v>342</v>
      </c>
      <c r="J5" s="160">
        <v>343</v>
      </c>
      <c r="K5" s="160">
        <v>344</v>
      </c>
      <c r="L5" s="160">
        <v>345</v>
      </c>
      <c r="M5" s="160">
        <v>346</v>
      </c>
      <c r="N5" s="160">
        <v>347</v>
      </c>
      <c r="O5" s="160">
        <v>348</v>
      </c>
      <c r="P5" s="160">
        <v>349</v>
      </c>
      <c r="Q5" s="160">
        <v>350</v>
      </c>
      <c r="R5" s="160">
        <v>351</v>
      </c>
      <c r="S5" s="160">
        <v>352</v>
      </c>
      <c r="T5" s="160">
        <v>353</v>
      </c>
      <c r="U5" s="160">
        <v>354</v>
      </c>
      <c r="V5" s="160">
        <v>355</v>
      </c>
      <c r="W5" s="160">
        <v>356</v>
      </c>
      <c r="X5" s="160">
        <v>357</v>
      </c>
      <c r="Y5" s="160">
        <v>358</v>
      </c>
      <c r="Z5" s="160">
        <v>359</v>
      </c>
      <c r="AA5" s="160">
        <v>360</v>
      </c>
      <c r="AB5" s="160">
        <v>361</v>
      </c>
      <c r="AC5" s="160">
        <v>362</v>
      </c>
      <c r="AD5" s="160">
        <v>363</v>
      </c>
      <c r="AE5" s="160">
        <v>364</v>
      </c>
      <c r="AF5" s="160">
        <v>365</v>
      </c>
      <c r="AG5" s="160">
        <v>366</v>
      </c>
      <c r="AH5" s="160"/>
      <c r="AI5" s="159"/>
      <c r="AJ5" s="154"/>
    </row>
    <row r="6" spans="1:36">
      <c r="A6" s="161" t="s">
        <v>7</v>
      </c>
      <c r="B6" s="162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8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3"/>
      <c r="AJ6" s="173"/>
    </row>
    <row r="7" spans="1:36">
      <c r="A7" s="231" t="s">
        <v>357</v>
      </c>
      <c r="B7" s="162"/>
      <c r="C7" s="167"/>
      <c r="D7" s="167"/>
      <c r="E7" s="167"/>
      <c r="F7" s="167"/>
      <c r="G7" s="167"/>
      <c r="H7" s="175"/>
      <c r="I7" s="167"/>
      <c r="J7" s="167"/>
      <c r="K7" s="167"/>
      <c r="L7" s="167"/>
      <c r="M7" s="167"/>
      <c r="N7" s="167"/>
      <c r="O7" s="168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8"/>
      <c r="AG7" s="167"/>
      <c r="AH7" s="167"/>
      <c r="AI7" s="165">
        <f t="shared" ref="AI7:AI40" si="0">SUM(C7:AG7)</f>
        <v>0</v>
      </c>
      <c r="AJ7" s="173"/>
    </row>
    <row r="8" spans="1:36">
      <c r="A8" s="166" t="s">
        <v>356</v>
      </c>
      <c r="B8" s="191"/>
      <c r="C8" s="163"/>
      <c r="D8" s="164"/>
      <c r="E8" s="163"/>
      <c r="F8" s="163"/>
      <c r="G8" s="163"/>
      <c r="H8" s="239"/>
      <c r="I8" s="163"/>
      <c r="J8" s="163"/>
      <c r="K8" s="164"/>
      <c r="L8" s="164"/>
      <c r="M8" s="164"/>
      <c r="N8" s="164"/>
      <c r="O8" s="164"/>
      <c r="P8" s="163"/>
      <c r="Q8" s="164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5">
        <f t="shared" si="0"/>
        <v>0</v>
      </c>
      <c r="AJ8" s="154"/>
    </row>
    <row r="9" spans="1:36">
      <c r="A9" s="166" t="s">
        <v>408</v>
      </c>
      <c r="B9" s="191"/>
      <c r="C9" s="167"/>
      <c r="D9" s="167"/>
      <c r="E9" s="233"/>
      <c r="F9" s="233"/>
      <c r="G9" s="167"/>
      <c r="H9" s="171">
        <v>149006930</v>
      </c>
      <c r="I9" s="170"/>
      <c r="J9" s="170"/>
      <c r="K9" s="175"/>
      <c r="L9" s="175"/>
      <c r="M9" s="175"/>
      <c r="N9" s="175"/>
      <c r="O9" s="172"/>
      <c r="P9" s="175"/>
      <c r="Q9" s="175"/>
      <c r="R9" s="168"/>
      <c r="S9" s="170"/>
      <c r="T9" s="168"/>
      <c r="U9" s="168"/>
      <c r="V9" s="168"/>
      <c r="W9" s="168"/>
      <c r="X9" s="168"/>
      <c r="Y9" s="168">
        <v>262235174</v>
      </c>
      <c r="Z9" s="168"/>
      <c r="AA9" s="168"/>
      <c r="AB9" s="168"/>
      <c r="AC9" s="168"/>
      <c r="AD9" s="167"/>
      <c r="AE9" s="168"/>
      <c r="AF9" s="167"/>
      <c r="AG9" s="168">
        <v>168013836</v>
      </c>
      <c r="AH9" s="167"/>
      <c r="AI9" s="165">
        <f t="shared" si="0"/>
        <v>579255940</v>
      </c>
      <c r="AJ9" s="173"/>
    </row>
    <row r="10" spans="1:36">
      <c r="A10" s="166" t="s">
        <v>366</v>
      </c>
      <c r="B10" s="191"/>
      <c r="C10" s="167"/>
      <c r="D10" s="167"/>
      <c r="E10" s="233"/>
      <c r="F10" s="233"/>
      <c r="G10" s="167"/>
      <c r="H10" s="171"/>
      <c r="I10" s="170"/>
      <c r="J10" s="170"/>
      <c r="K10" s="175"/>
      <c r="L10" s="175"/>
      <c r="M10" s="175"/>
      <c r="N10" s="175"/>
      <c r="O10" s="172"/>
      <c r="P10" s="172"/>
      <c r="Q10" s="175"/>
      <c r="R10" s="168"/>
      <c r="S10" s="170"/>
      <c r="T10" s="168"/>
      <c r="U10" s="168"/>
      <c r="V10" s="168"/>
      <c r="W10" s="167"/>
      <c r="X10" s="168"/>
      <c r="Y10" s="168"/>
      <c r="Z10" s="168"/>
      <c r="AA10" s="168"/>
      <c r="AB10" s="168"/>
      <c r="AC10" s="168">
        <v>44190192</v>
      </c>
      <c r="AD10" s="168">
        <v>57894529</v>
      </c>
      <c r="AE10" s="168"/>
      <c r="AF10" s="168">
        <v>20528211</v>
      </c>
      <c r="AG10" s="168">
        <v>88797176</v>
      </c>
      <c r="AH10" s="168"/>
      <c r="AI10" s="165"/>
      <c r="AJ10" s="173"/>
    </row>
    <row r="11" spans="1:36">
      <c r="A11" s="166" t="s">
        <v>10</v>
      </c>
      <c r="B11" s="191"/>
      <c r="C11" s="167"/>
      <c r="D11" s="167"/>
      <c r="E11" s="233"/>
      <c r="F11" s="233"/>
      <c r="G11" s="167"/>
      <c r="H11" s="172"/>
      <c r="I11" s="168"/>
      <c r="J11" s="168"/>
      <c r="K11" s="175"/>
      <c r="L11" s="175"/>
      <c r="M11" s="175"/>
      <c r="N11" s="175"/>
      <c r="O11" s="172"/>
      <c r="P11" s="175"/>
      <c r="Q11" s="175"/>
      <c r="R11" s="175"/>
      <c r="S11" s="175"/>
      <c r="T11" s="167"/>
      <c r="U11" s="168"/>
      <c r="V11" s="168"/>
      <c r="W11" s="167"/>
      <c r="X11" s="168"/>
      <c r="Y11" s="168"/>
      <c r="Z11" s="168"/>
      <c r="AA11" s="168"/>
      <c r="AB11" s="168"/>
      <c r="AC11" s="168"/>
      <c r="AD11" s="167"/>
      <c r="AE11" s="168"/>
      <c r="AF11" s="167"/>
      <c r="AG11" s="167"/>
      <c r="AH11" s="167"/>
      <c r="AI11" s="165">
        <f t="shared" si="0"/>
        <v>0</v>
      </c>
      <c r="AJ11" s="173"/>
    </row>
    <row r="12" spans="1:36">
      <c r="A12" s="166" t="s">
        <v>205</v>
      </c>
      <c r="B12" s="191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2"/>
      <c r="P12" s="175"/>
      <c r="Q12" s="175"/>
      <c r="R12" s="175"/>
      <c r="S12" s="175"/>
      <c r="T12" s="175"/>
      <c r="U12" s="175"/>
      <c r="V12" s="175"/>
      <c r="W12" s="175"/>
      <c r="X12" s="253"/>
      <c r="Y12" s="253"/>
      <c r="Z12" s="253"/>
      <c r="AA12" s="253"/>
      <c r="AB12" s="175"/>
      <c r="AC12" s="175"/>
      <c r="AD12" s="253"/>
      <c r="AE12" s="253"/>
      <c r="AF12" s="236"/>
      <c r="AG12" s="253"/>
      <c r="AH12" s="253">
        <v>21000000</v>
      </c>
      <c r="AI12" s="165">
        <f t="shared" si="0"/>
        <v>0</v>
      </c>
      <c r="AJ12" s="234"/>
    </row>
    <row r="13" spans="1:36">
      <c r="A13" s="166" t="s">
        <v>206</v>
      </c>
      <c r="B13" s="191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2"/>
      <c r="P13" s="175"/>
      <c r="Q13" s="175"/>
      <c r="R13" s="175"/>
      <c r="S13" s="175"/>
      <c r="T13" s="175"/>
      <c r="U13" s="175"/>
      <c r="V13" s="175"/>
      <c r="W13" s="175"/>
      <c r="X13" s="253"/>
      <c r="Y13" s="253"/>
      <c r="Z13" s="253"/>
      <c r="AA13" s="253"/>
      <c r="AB13" s="175"/>
      <c r="AC13" s="175"/>
      <c r="AD13" s="253"/>
      <c r="AE13" s="253"/>
      <c r="AF13" s="236"/>
      <c r="AG13" s="253"/>
      <c r="AH13" s="253">
        <v>14000000</v>
      </c>
      <c r="AI13" s="165">
        <f t="shared" si="0"/>
        <v>0</v>
      </c>
      <c r="AJ13" s="234">
        <f>SUM(AI12:AI13)</f>
        <v>0</v>
      </c>
    </row>
    <row r="14" spans="1:36">
      <c r="A14" s="166" t="s">
        <v>377</v>
      </c>
      <c r="B14" s="191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2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65">
        <f t="shared" si="0"/>
        <v>0</v>
      </c>
      <c r="AJ14" s="234"/>
    </row>
    <row r="15" spans="1:36">
      <c r="A15" s="166" t="s">
        <v>365</v>
      </c>
      <c r="B15" s="191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2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65">
        <f t="shared" si="0"/>
        <v>0</v>
      </c>
      <c r="AJ15" s="234"/>
    </row>
    <row r="16" spans="1:36">
      <c r="A16" s="166" t="s">
        <v>261</v>
      </c>
      <c r="B16" s="191"/>
      <c r="C16" s="175"/>
      <c r="D16" s="175"/>
      <c r="E16" s="175"/>
      <c r="F16" s="175"/>
      <c r="G16" s="175"/>
      <c r="H16" s="172">
        <v>271337138</v>
      </c>
      <c r="I16" s="175"/>
      <c r="J16" s="175"/>
      <c r="K16" s="175"/>
      <c r="L16" s="175"/>
      <c r="M16" s="175"/>
      <c r="N16" s="175"/>
      <c r="O16" s="172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65">
        <f t="shared" si="0"/>
        <v>271337138</v>
      </c>
      <c r="AJ16" s="234"/>
    </row>
    <row r="17" spans="1:36">
      <c r="A17" s="166" t="s">
        <v>360</v>
      </c>
      <c r="B17" s="191"/>
      <c r="C17" s="175"/>
      <c r="D17" s="175"/>
      <c r="E17" s="175"/>
      <c r="F17" s="175"/>
      <c r="G17" s="175"/>
      <c r="H17" s="172">
        <v>130338957</v>
      </c>
      <c r="I17" s="175"/>
      <c r="J17" s="175"/>
      <c r="K17" s="175"/>
      <c r="L17" s="175"/>
      <c r="M17" s="175"/>
      <c r="N17" s="175"/>
      <c r="O17" s="172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65">
        <f t="shared" si="0"/>
        <v>130338957</v>
      </c>
      <c r="AJ17" s="234"/>
    </row>
    <row r="18" spans="1:36">
      <c r="A18" s="166" t="s">
        <v>361</v>
      </c>
      <c r="B18" s="191"/>
      <c r="C18" s="175"/>
      <c r="D18" s="175"/>
      <c r="E18" s="175"/>
      <c r="F18" s="175"/>
      <c r="G18" s="175"/>
      <c r="H18" s="172">
        <v>164979291</v>
      </c>
      <c r="I18" s="175"/>
      <c r="J18" s="175"/>
      <c r="K18" s="175"/>
      <c r="L18" s="175"/>
      <c r="M18" s="175"/>
      <c r="N18" s="175"/>
      <c r="O18" s="172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65">
        <f t="shared" si="0"/>
        <v>164979291</v>
      </c>
      <c r="AJ18" s="234"/>
    </row>
    <row r="19" spans="1:36">
      <c r="A19" s="166" t="s">
        <v>383</v>
      </c>
      <c r="B19" s="191"/>
      <c r="C19" s="175"/>
      <c r="D19" s="175"/>
      <c r="E19" s="175"/>
      <c r="F19" s="175"/>
      <c r="G19" s="175"/>
      <c r="H19" s="172">
        <v>124193197</v>
      </c>
      <c r="I19" s="175"/>
      <c r="J19" s="175"/>
      <c r="K19" s="175"/>
      <c r="L19" s="175"/>
      <c r="M19" s="175"/>
      <c r="N19" s="175"/>
      <c r="O19" s="172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65">
        <f t="shared" si="0"/>
        <v>124193197</v>
      </c>
      <c r="AJ19" s="234"/>
    </row>
    <row r="20" spans="1:36">
      <c r="A20" s="166" t="s">
        <v>384</v>
      </c>
      <c r="B20" s="191"/>
      <c r="C20" s="175"/>
      <c r="D20" s="175"/>
      <c r="E20" s="175"/>
      <c r="F20" s="175"/>
      <c r="G20" s="175"/>
      <c r="H20" s="172">
        <v>236518683</v>
      </c>
      <c r="I20" s="175"/>
      <c r="J20" s="175"/>
      <c r="K20" s="175"/>
      <c r="L20" s="175"/>
      <c r="M20" s="175"/>
      <c r="N20" s="175"/>
      <c r="O20" s="172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65">
        <f t="shared" si="0"/>
        <v>236518683</v>
      </c>
      <c r="AJ20" s="234"/>
    </row>
    <row r="21" spans="1:36">
      <c r="A21" s="166" t="s">
        <v>396</v>
      </c>
      <c r="B21" s="191"/>
      <c r="C21" s="175"/>
      <c r="D21" s="175"/>
      <c r="E21" s="175"/>
      <c r="F21" s="175"/>
      <c r="G21" s="175"/>
      <c r="H21" s="172"/>
      <c r="I21" s="175"/>
      <c r="J21" s="175"/>
      <c r="K21" s="175"/>
      <c r="L21" s="175"/>
      <c r="M21" s="175"/>
      <c r="N21" s="175"/>
      <c r="O21" s="172"/>
      <c r="P21" s="175"/>
      <c r="Q21" s="175"/>
      <c r="R21" s="175"/>
      <c r="S21" s="175"/>
      <c r="T21" s="175"/>
      <c r="U21" s="175"/>
      <c r="V21" s="172">
        <v>156932752</v>
      </c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65"/>
      <c r="AJ21" s="234"/>
    </row>
    <row r="22" spans="1:36">
      <c r="A22" s="166" t="s">
        <v>397</v>
      </c>
      <c r="B22" s="191"/>
      <c r="C22" s="175"/>
      <c r="D22" s="175"/>
      <c r="E22" s="175"/>
      <c r="F22" s="175"/>
      <c r="G22" s="175"/>
      <c r="H22" s="172"/>
      <c r="I22" s="175"/>
      <c r="J22" s="175"/>
      <c r="K22" s="175"/>
      <c r="L22" s="175"/>
      <c r="M22" s="175"/>
      <c r="N22" s="175"/>
      <c r="O22" s="172"/>
      <c r="P22" s="175"/>
      <c r="Q22" s="175"/>
      <c r="R22" s="175"/>
      <c r="S22" s="175"/>
      <c r="T22" s="175"/>
      <c r="U22" s="175"/>
      <c r="V22" s="172">
        <v>182532153</v>
      </c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65"/>
      <c r="AJ22" s="234">
        <f>SUM(AI17:AI22)</f>
        <v>656030128</v>
      </c>
    </row>
    <row r="23" spans="1:36">
      <c r="A23" s="166" t="s">
        <v>410</v>
      </c>
      <c r="B23" s="191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2"/>
      <c r="P23" s="175"/>
      <c r="Q23" s="175"/>
      <c r="R23" s="175"/>
      <c r="S23" s="175"/>
      <c r="T23" s="175"/>
      <c r="U23" s="175"/>
      <c r="V23" s="172">
        <v>492777941</v>
      </c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65"/>
      <c r="AJ23" s="234"/>
    </row>
    <row r="24" spans="1:36">
      <c r="A24" s="166" t="s">
        <v>411</v>
      </c>
      <c r="B24" s="191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2"/>
      <c r="P24" s="175"/>
      <c r="Q24" s="175"/>
      <c r="R24" s="175"/>
      <c r="S24" s="175"/>
      <c r="T24" s="175"/>
      <c r="U24" s="175"/>
      <c r="V24" s="172">
        <v>131350385</v>
      </c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65"/>
      <c r="AJ24" s="234"/>
    </row>
    <row r="25" spans="1:36">
      <c r="A25" s="166" t="s">
        <v>426</v>
      </c>
      <c r="B25" s="191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246"/>
      <c r="N25" s="246"/>
      <c r="O25" s="172"/>
      <c r="P25" s="246"/>
      <c r="Q25" s="246"/>
      <c r="R25" s="175"/>
      <c r="S25" s="246"/>
      <c r="T25" s="246"/>
      <c r="U25" s="175"/>
      <c r="V25" s="252">
        <v>134880226</v>
      </c>
      <c r="W25" s="246"/>
      <c r="X25" s="246"/>
      <c r="Y25" s="246"/>
      <c r="Z25" s="246"/>
      <c r="AA25" s="246"/>
      <c r="AB25" s="175"/>
      <c r="AC25" s="175"/>
      <c r="AD25" s="246"/>
      <c r="AE25" s="246"/>
      <c r="AF25" s="175"/>
      <c r="AG25" s="246"/>
      <c r="AH25" s="246"/>
      <c r="AI25" s="165"/>
      <c r="AJ25" s="234"/>
    </row>
    <row r="26" spans="1:36">
      <c r="A26" s="166" t="s">
        <v>427</v>
      </c>
      <c r="B26" s="191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2"/>
      <c r="P26" s="175"/>
      <c r="Q26" s="175"/>
      <c r="R26" s="175"/>
      <c r="S26" s="175"/>
      <c r="T26" s="175"/>
      <c r="U26" s="175"/>
      <c r="V26" s="175"/>
      <c r="W26" s="175"/>
      <c r="X26" s="253"/>
      <c r="Y26" s="253"/>
      <c r="Z26" s="253"/>
      <c r="AA26" s="253"/>
      <c r="AB26" s="175"/>
      <c r="AC26" s="175"/>
      <c r="AD26" s="253"/>
      <c r="AE26" s="253"/>
      <c r="AF26" s="175"/>
      <c r="AG26" s="253"/>
      <c r="AH26" s="253">
        <v>211121745</v>
      </c>
      <c r="AI26" s="165"/>
      <c r="AJ26" s="234"/>
    </row>
    <row r="27" spans="1:36">
      <c r="A27" s="166" t="s">
        <v>428</v>
      </c>
      <c r="B27" s="191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2"/>
      <c r="P27" s="175"/>
      <c r="Q27" s="175"/>
      <c r="R27" s="175"/>
      <c r="S27" s="175"/>
      <c r="T27" s="175"/>
      <c r="U27" s="175"/>
      <c r="V27" s="175"/>
      <c r="W27" s="175"/>
      <c r="X27" s="253"/>
      <c r="Y27" s="253"/>
      <c r="Z27" s="253"/>
      <c r="AA27" s="253"/>
      <c r="AB27" s="175"/>
      <c r="AC27" s="175"/>
      <c r="AD27" s="253"/>
      <c r="AE27" s="253"/>
      <c r="AF27" s="175"/>
      <c r="AG27" s="253"/>
      <c r="AH27" s="253">
        <v>135545923</v>
      </c>
      <c r="AI27" s="165"/>
      <c r="AJ27" s="234"/>
    </row>
    <row r="28" spans="1:36">
      <c r="A28" s="166" t="s">
        <v>429</v>
      </c>
      <c r="B28" s="191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2"/>
      <c r="P28" s="175"/>
      <c r="Q28" s="175"/>
      <c r="R28" s="175"/>
      <c r="S28" s="175"/>
      <c r="T28" s="175"/>
      <c r="U28" s="175"/>
      <c r="V28" s="175"/>
      <c r="W28" s="175"/>
      <c r="X28" s="253"/>
      <c r="Y28" s="253"/>
      <c r="Z28" s="253"/>
      <c r="AA28" s="253"/>
      <c r="AB28" s="175"/>
      <c r="AC28" s="175"/>
      <c r="AD28" s="253"/>
      <c r="AE28" s="253"/>
      <c r="AF28" s="175"/>
      <c r="AG28" s="253"/>
      <c r="AH28" s="253">
        <v>486195789</v>
      </c>
      <c r="AI28" s="165"/>
      <c r="AJ28" s="234"/>
    </row>
    <row r="29" spans="1:36">
      <c r="A29" s="166" t="s">
        <v>17</v>
      </c>
      <c r="B29" s="191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2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65">
        <f t="shared" si="0"/>
        <v>0</v>
      </c>
      <c r="AJ29" s="234"/>
    </row>
    <row r="30" spans="1:36">
      <c r="A30" s="166" t="s">
        <v>18</v>
      </c>
      <c r="B30" s="191"/>
      <c r="C30" s="167"/>
      <c r="D30" s="167"/>
      <c r="E30" s="167"/>
      <c r="F30" s="167"/>
      <c r="G30" s="167"/>
      <c r="H30" s="175"/>
      <c r="I30" s="167"/>
      <c r="J30" s="167"/>
      <c r="K30" s="167"/>
      <c r="L30" s="167"/>
      <c r="M30" s="167"/>
      <c r="N30" s="167"/>
      <c r="O30" s="168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5">
        <f t="shared" si="0"/>
        <v>0</v>
      </c>
      <c r="AJ30" s="233"/>
    </row>
    <row r="31" spans="1:36">
      <c r="A31" s="166" t="s">
        <v>19</v>
      </c>
      <c r="B31" s="191"/>
      <c r="C31" s="167"/>
      <c r="D31" s="167"/>
      <c r="E31" s="167"/>
      <c r="F31" s="167"/>
      <c r="G31" s="167"/>
      <c r="H31" s="175"/>
      <c r="I31" s="167"/>
      <c r="J31" s="167"/>
      <c r="K31" s="167"/>
      <c r="L31" s="167"/>
      <c r="M31" s="167"/>
      <c r="N31" s="167"/>
      <c r="O31" s="168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5">
        <f t="shared" si="0"/>
        <v>0</v>
      </c>
      <c r="AJ31" s="233"/>
    </row>
    <row r="32" spans="1:36">
      <c r="A32" s="166" t="s">
        <v>20</v>
      </c>
      <c r="B32" s="191"/>
      <c r="C32" s="167"/>
      <c r="D32" s="167"/>
      <c r="E32" s="167"/>
      <c r="F32" s="167"/>
      <c r="G32" s="167"/>
      <c r="H32" s="175"/>
      <c r="I32" s="167"/>
      <c r="J32" s="167"/>
      <c r="K32" s="167"/>
      <c r="L32" s="167"/>
      <c r="M32" s="167"/>
      <c r="N32" s="167"/>
      <c r="O32" s="168"/>
      <c r="P32" s="167"/>
      <c r="Q32" s="167"/>
      <c r="R32" s="167"/>
      <c r="S32" s="167"/>
      <c r="T32" s="167"/>
      <c r="U32" s="167"/>
      <c r="V32" s="168">
        <v>260711748</v>
      </c>
      <c r="W32" s="167"/>
      <c r="X32" s="167"/>
      <c r="Y32" s="168">
        <v>423741476</v>
      </c>
      <c r="Z32" s="167"/>
      <c r="AA32" s="167"/>
      <c r="AB32" s="167"/>
      <c r="AC32" s="167"/>
      <c r="AD32" s="167"/>
      <c r="AE32" s="167"/>
      <c r="AF32" s="168"/>
      <c r="AG32" s="167"/>
      <c r="AH32" s="167"/>
      <c r="AI32" s="165">
        <f t="shared" si="0"/>
        <v>684453224</v>
      </c>
      <c r="AJ32" s="233"/>
    </row>
    <row r="33" spans="1:38">
      <c r="A33" s="166" t="s">
        <v>417</v>
      </c>
      <c r="B33" s="191"/>
      <c r="C33" s="167"/>
      <c r="D33" s="167"/>
      <c r="E33" s="167"/>
      <c r="F33" s="167"/>
      <c r="G33" s="167"/>
      <c r="H33" s="175"/>
      <c r="I33" s="167"/>
      <c r="J33" s="167"/>
      <c r="K33" s="167"/>
      <c r="L33" s="167"/>
      <c r="M33" s="167"/>
      <c r="N33" s="167"/>
      <c r="O33" s="168"/>
      <c r="P33" s="167"/>
      <c r="Q33" s="167"/>
      <c r="R33" s="167"/>
      <c r="S33" s="167"/>
      <c r="T33" s="167"/>
      <c r="U33" s="167"/>
      <c r="V33" s="167"/>
      <c r="W33" s="167"/>
      <c r="X33" s="254"/>
      <c r="Y33" s="254"/>
      <c r="Z33" s="254"/>
      <c r="AA33" s="254"/>
      <c r="AB33" s="172"/>
      <c r="AC33" s="256">
        <v>336937122</v>
      </c>
      <c r="AD33" s="254"/>
      <c r="AE33" s="254"/>
      <c r="AF33" s="167"/>
      <c r="AG33" s="254"/>
      <c r="AH33" s="254"/>
      <c r="AI33" s="165"/>
      <c r="AJ33" s="233"/>
    </row>
    <row r="34" spans="1:38">
      <c r="A34" s="166" t="s">
        <v>418</v>
      </c>
      <c r="B34" s="191"/>
      <c r="C34" s="167"/>
      <c r="D34" s="167"/>
      <c r="E34" s="167"/>
      <c r="F34" s="167"/>
      <c r="G34" s="167"/>
      <c r="H34" s="175"/>
      <c r="I34" s="167"/>
      <c r="J34" s="167"/>
      <c r="K34" s="167"/>
      <c r="L34" s="167"/>
      <c r="M34" s="167"/>
      <c r="N34" s="167"/>
      <c r="O34" s="168"/>
      <c r="P34" s="167"/>
      <c r="Q34" s="167"/>
      <c r="R34" s="167"/>
      <c r="S34" s="167"/>
      <c r="T34" s="167"/>
      <c r="U34" s="167"/>
      <c r="V34" s="167"/>
      <c r="W34" s="167"/>
      <c r="X34" s="254"/>
      <c r="Y34" s="254"/>
      <c r="Z34" s="254"/>
      <c r="AA34" s="254"/>
      <c r="AB34" s="172"/>
      <c r="AC34" s="167"/>
      <c r="AD34" s="254"/>
      <c r="AE34" s="254"/>
      <c r="AF34" s="167"/>
      <c r="AG34" s="254"/>
      <c r="AH34" s="254">
        <v>303545516</v>
      </c>
      <c r="AI34" s="165"/>
      <c r="AJ34" s="233"/>
    </row>
    <row r="35" spans="1:38">
      <c r="A35" s="166" t="s">
        <v>419</v>
      </c>
      <c r="B35" s="191"/>
      <c r="C35" s="167"/>
      <c r="D35" s="167"/>
      <c r="E35" s="167"/>
      <c r="F35" s="167"/>
      <c r="G35" s="167"/>
      <c r="H35" s="175"/>
      <c r="I35" s="167"/>
      <c r="J35" s="167"/>
      <c r="K35" s="167"/>
      <c r="L35" s="167"/>
      <c r="M35" s="167"/>
      <c r="N35" s="167"/>
      <c r="O35" s="168"/>
      <c r="P35" s="167"/>
      <c r="Q35" s="167"/>
      <c r="R35" s="167"/>
      <c r="S35" s="167"/>
      <c r="T35" s="167"/>
      <c r="U35" s="167"/>
      <c r="V35" s="167"/>
      <c r="W35" s="167"/>
      <c r="X35" s="254"/>
      <c r="Y35" s="254"/>
      <c r="Z35" s="254"/>
      <c r="AA35" s="254"/>
      <c r="AB35" s="172"/>
      <c r="AC35" s="167"/>
      <c r="AD35" s="254"/>
      <c r="AE35" s="254"/>
      <c r="AF35" s="167"/>
      <c r="AG35" s="254"/>
      <c r="AH35" s="254">
        <v>493533213</v>
      </c>
      <c r="AI35" s="165"/>
      <c r="AJ35" s="233"/>
    </row>
    <row r="36" spans="1:38">
      <c r="A36" s="166" t="s">
        <v>420</v>
      </c>
      <c r="B36" s="191"/>
      <c r="C36" s="167"/>
      <c r="D36" s="167"/>
      <c r="E36" s="167"/>
      <c r="F36" s="167"/>
      <c r="G36" s="167"/>
      <c r="H36" s="172"/>
      <c r="I36" s="167"/>
      <c r="J36" s="167"/>
      <c r="K36" s="167"/>
      <c r="L36" s="167"/>
      <c r="M36" s="167"/>
      <c r="N36" s="167"/>
      <c r="O36" s="168"/>
      <c r="P36" s="167"/>
      <c r="Q36" s="167"/>
      <c r="R36" s="167"/>
      <c r="S36" s="167"/>
      <c r="T36" s="167"/>
      <c r="U36" s="167"/>
      <c r="V36" s="167"/>
      <c r="W36" s="167"/>
      <c r="X36" s="254"/>
      <c r="Y36" s="254"/>
      <c r="Z36" s="254"/>
      <c r="AA36" s="254"/>
      <c r="AB36" s="172"/>
      <c r="AC36" s="167"/>
      <c r="AD36" s="254"/>
      <c r="AE36" s="254"/>
      <c r="AF36" s="167"/>
      <c r="AG36" s="254"/>
      <c r="AH36" s="254">
        <v>169073767</v>
      </c>
      <c r="AI36" s="165"/>
      <c r="AJ36" s="233"/>
    </row>
    <row r="37" spans="1:38">
      <c r="A37" s="166" t="s">
        <v>43</v>
      </c>
      <c r="B37" s="191"/>
      <c r="C37" s="168"/>
      <c r="D37" s="168"/>
      <c r="E37" s="168"/>
      <c r="F37" s="168"/>
      <c r="G37" s="167"/>
      <c r="H37" s="172">
        <v>209561520</v>
      </c>
      <c r="I37" s="168"/>
      <c r="J37" s="168"/>
      <c r="K37" s="168"/>
      <c r="L37" s="168"/>
      <c r="M37" s="168"/>
      <c r="N37" s="168"/>
      <c r="O37" s="168"/>
      <c r="P37" s="168"/>
      <c r="Q37" s="168"/>
      <c r="R37" s="170"/>
      <c r="S37" s="168"/>
      <c r="T37" s="168"/>
      <c r="U37" s="172"/>
      <c r="V37" s="172"/>
      <c r="W37" s="168"/>
      <c r="X37" s="168"/>
      <c r="Y37" s="168"/>
      <c r="Z37" s="168"/>
      <c r="AA37" s="168"/>
      <c r="AB37" s="172"/>
      <c r="AC37" s="168"/>
      <c r="AD37" s="168"/>
      <c r="AE37" s="168"/>
      <c r="AF37" s="168"/>
      <c r="AG37" s="168"/>
      <c r="AH37" s="168"/>
      <c r="AI37" s="165">
        <f t="shared" si="0"/>
        <v>209561520</v>
      </c>
      <c r="AJ37" s="233"/>
    </row>
    <row r="38" spans="1:38">
      <c r="A38" s="166" t="s">
        <v>318</v>
      </c>
      <c r="B38" s="191"/>
      <c r="C38" s="170"/>
      <c r="D38" s="170"/>
      <c r="E38" s="170"/>
      <c r="F38" s="170"/>
      <c r="G38" s="167"/>
      <c r="H38" s="172"/>
      <c r="I38" s="170"/>
      <c r="J38" s="170"/>
      <c r="K38" s="170"/>
      <c r="L38" s="170"/>
      <c r="M38" s="170"/>
      <c r="N38" s="170"/>
      <c r="O38" s="168"/>
      <c r="P38" s="170"/>
      <c r="Q38" s="170"/>
      <c r="R38" s="167"/>
      <c r="S38" s="171"/>
      <c r="T38" s="170"/>
      <c r="U38" s="175"/>
      <c r="V38" s="175"/>
      <c r="W38" s="170"/>
      <c r="X38" s="170"/>
      <c r="Y38" s="170"/>
      <c r="Z38" s="170"/>
      <c r="AA38" s="170"/>
      <c r="AB38" s="172"/>
      <c r="AC38" s="170"/>
      <c r="AD38" s="171">
        <f>63956902+106469431</f>
        <v>170426333</v>
      </c>
      <c r="AE38" s="170"/>
      <c r="AF38" s="170"/>
      <c r="AG38" s="170"/>
      <c r="AH38" s="170"/>
      <c r="AI38" s="165">
        <f t="shared" si="0"/>
        <v>170426333</v>
      </c>
      <c r="AJ38" s="233"/>
    </row>
    <row r="39" spans="1:38">
      <c r="A39" s="166" t="s">
        <v>447</v>
      </c>
      <c r="B39" s="191"/>
      <c r="C39" s="170"/>
      <c r="D39" s="170"/>
      <c r="E39" s="170"/>
      <c r="F39" s="170"/>
      <c r="G39" s="167"/>
      <c r="H39" s="172"/>
      <c r="I39" s="170"/>
      <c r="J39" s="170"/>
      <c r="K39" s="170"/>
      <c r="L39" s="170"/>
      <c r="M39" s="170"/>
      <c r="N39" s="170"/>
      <c r="O39" s="168"/>
      <c r="P39" s="170"/>
      <c r="Q39" s="170"/>
      <c r="R39" s="167"/>
      <c r="S39" s="171"/>
      <c r="T39" s="170"/>
      <c r="U39" s="175"/>
      <c r="V39" s="175"/>
      <c r="W39" s="170"/>
      <c r="X39" s="170"/>
      <c r="Y39" s="170"/>
      <c r="Z39" s="170"/>
      <c r="AA39" s="170"/>
      <c r="AB39" s="172"/>
      <c r="AC39" s="170"/>
      <c r="AD39" s="170"/>
      <c r="AE39" s="170"/>
      <c r="AF39" s="170"/>
      <c r="AG39" s="170"/>
      <c r="AH39" s="170"/>
      <c r="AI39" s="165"/>
      <c r="AJ39" s="233"/>
    </row>
    <row r="40" spans="1:38">
      <c r="A40" s="166" t="s">
        <v>348</v>
      </c>
      <c r="B40" s="191"/>
      <c r="C40" s="167"/>
      <c r="D40" s="167"/>
      <c r="E40" s="167"/>
      <c r="F40" s="167"/>
      <c r="G40" s="171"/>
      <c r="H40" s="172"/>
      <c r="I40" s="167"/>
      <c r="J40" s="167"/>
      <c r="K40" s="167"/>
      <c r="L40" s="167"/>
      <c r="M40" s="167"/>
      <c r="N40" s="167"/>
      <c r="O40" s="177"/>
      <c r="P40" s="167"/>
      <c r="Q40" s="167"/>
      <c r="R40" s="168"/>
      <c r="S40" s="175"/>
      <c r="T40" s="167"/>
      <c r="U40" s="172"/>
      <c r="V40" s="172"/>
      <c r="W40" s="167"/>
      <c r="X40" s="168">
        <f>47369502-7395968-16030465</f>
        <v>23943069</v>
      </c>
      <c r="Y40" s="167"/>
      <c r="Z40" s="167"/>
      <c r="AA40" s="167"/>
      <c r="AB40" s="172"/>
      <c r="AC40" s="167"/>
      <c r="AD40" s="167"/>
      <c r="AE40" s="167"/>
      <c r="AF40" s="167"/>
      <c r="AG40" s="167"/>
      <c r="AH40" s="167"/>
      <c r="AI40" s="165">
        <f t="shared" si="0"/>
        <v>23943069</v>
      </c>
      <c r="AJ40" s="235"/>
    </row>
    <row r="41" spans="1:38">
      <c r="A41" s="166" t="s">
        <v>354</v>
      </c>
      <c r="B41" s="191"/>
      <c r="C41" s="167"/>
      <c r="D41" s="168">
        <v>28794014</v>
      </c>
      <c r="E41" s="168">
        <f>140516070-1380000</f>
        <v>139136070</v>
      </c>
      <c r="F41" s="167"/>
      <c r="G41" s="171"/>
      <c r="H41" s="171"/>
      <c r="I41" s="167"/>
      <c r="J41" s="167"/>
      <c r="K41" s="167"/>
      <c r="L41" s="167"/>
      <c r="M41" s="167"/>
      <c r="N41" s="167"/>
      <c r="O41" s="177"/>
      <c r="P41" s="167"/>
      <c r="Q41" s="167"/>
      <c r="R41" s="168"/>
      <c r="S41" s="175"/>
      <c r="T41" s="167"/>
      <c r="U41" s="168"/>
      <c r="V41" s="168"/>
      <c r="W41" s="167"/>
      <c r="X41" s="167"/>
      <c r="Y41" s="167"/>
      <c r="Z41" s="168">
        <v>46891157</v>
      </c>
      <c r="AA41" s="167"/>
      <c r="AB41" s="168"/>
      <c r="AC41" s="167"/>
      <c r="AD41" s="167"/>
      <c r="AE41" s="167"/>
      <c r="AF41" s="168"/>
      <c r="AG41" s="167"/>
      <c r="AH41" s="167"/>
      <c r="AI41" s="165"/>
      <c r="AJ41" s="235"/>
    </row>
    <row r="42" spans="1:38">
      <c r="A42" s="166" t="s">
        <v>350</v>
      </c>
      <c r="B42" s="191"/>
      <c r="C42" s="168"/>
      <c r="D42" s="168"/>
      <c r="E42" s="168"/>
      <c r="F42" s="168"/>
      <c r="G42" s="167"/>
      <c r="H42" s="175"/>
      <c r="I42" s="168"/>
      <c r="J42" s="168"/>
      <c r="K42" s="168"/>
      <c r="L42" s="168"/>
      <c r="M42" s="168"/>
      <c r="N42" s="168"/>
      <c r="O42" s="177"/>
      <c r="P42" s="168"/>
      <c r="Q42" s="168"/>
      <c r="R42" s="170"/>
      <c r="S42" s="168"/>
      <c r="T42" s="168"/>
      <c r="U42" s="170"/>
      <c r="V42" s="170"/>
      <c r="W42" s="168"/>
      <c r="X42" s="168"/>
      <c r="Y42" s="168"/>
      <c r="Z42" s="168"/>
      <c r="AA42" s="168"/>
      <c r="AB42" s="170"/>
      <c r="AC42" s="168"/>
      <c r="AD42" s="168">
        <v>49835819</v>
      </c>
      <c r="AE42" s="168"/>
      <c r="AF42" s="168"/>
      <c r="AG42" s="168"/>
      <c r="AH42" s="168"/>
      <c r="AI42" s="165">
        <f t="shared" ref="AI42:AI73" si="1">SUM(C42:AG42)</f>
        <v>49835819</v>
      </c>
      <c r="AJ42" s="235"/>
    </row>
    <row r="43" spans="1:38">
      <c r="A43" s="166" t="s">
        <v>389</v>
      </c>
      <c r="B43" s="191"/>
      <c r="C43" s="168"/>
      <c r="D43" s="168"/>
      <c r="E43" s="168"/>
      <c r="F43" s="168"/>
      <c r="G43" s="181"/>
      <c r="H43" s="240"/>
      <c r="I43" s="168"/>
      <c r="J43" s="168"/>
      <c r="K43" s="168"/>
      <c r="L43" s="168"/>
      <c r="M43" s="168"/>
      <c r="N43" s="168"/>
      <c r="O43" s="177"/>
      <c r="P43" s="168"/>
      <c r="Q43" s="168"/>
      <c r="R43" s="170"/>
      <c r="S43" s="168"/>
      <c r="T43" s="168"/>
      <c r="U43" s="170"/>
      <c r="V43" s="170"/>
      <c r="W43" s="168"/>
      <c r="X43" s="168"/>
      <c r="Y43" s="168"/>
      <c r="Z43" s="168"/>
      <c r="AA43" s="168"/>
      <c r="AB43" s="170"/>
      <c r="AC43" s="168"/>
      <c r="AD43" s="168"/>
      <c r="AE43" s="168"/>
      <c r="AF43" s="168"/>
      <c r="AG43" s="168"/>
      <c r="AH43" s="168"/>
      <c r="AI43" s="165"/>
      <c r="AJ43" s="235"/>
    </row>
    <row r="44" spans="1:38">
      <c r="A44" s="166" t="s">
        <v>390</v>
      </c>
      <c r="B44" s="191"/>
      <c r="C44" s="168"/>
      <c r="D44" s="168"/>
      <c r="E44" s="168"/>
      <c r="F44" s="168"/>
      <c r="G44" s="181"/>
      <c r="H44" s="240"/>
      <c r="I44" s="168"/>
      <c r="J44" s="168"/>
      <c r="K44" s="168"/>
      <c r="L44" s="168"/>
      <c r="M44" s="168"/>
      <c r="N44" s="168"/>
      <c r="O44" s="177"/>
      <c r="P44" s="168"/>
      <c r="Q44" s="168"/>
      <c r="R44" s="170"/>
      <c r="S44" s="168"/>
      <c r="T44" s="168"/>
      <c r="U44" s="170"/>
      <c r="V44" s="170"/>
      <c r="W44" s="168"/>
      <c r="X44" s="168"/>
      <c r="Y44" s="168"/>
      <c r="Z44" s="168"/>
      <c r="AA44" s="168"/>
      <c r="AB44" s="170"/>
      <c r="AC44" s="168"/>
      <c r="AD44" s="168"/>
      <c r="AE44" s="168"/>
      <c r="AF44" s="168"/>
      <c r="AG44" s="168"/>
      <c r="AH44" s="168"/>
      <c r="AI44" s="165"/>
      <c r="AJ44" s="235"/>
    </row>
    <row r="45" spans="1:38">
      <c r="A45" s="166" t="s">
        <v>391</v>
      </c>
      <c r="B45" s="191"/>
      <c r="C45" s="168"/>
      <c r="D45" s="168"/>
      <c r="E45" s="168"/>
      <c r="F45" s="168"/>
      <c r="G45" s="181"/>
      <c r="H45" s="240"/>
      <c r="I45" s="168"/>
      <c r="J45" s="168"/>
      <c r="K45" s="168"/>
      <c r="L45" s="168"/>
      <c r="M45" s="168"/>
      <c r="N45" s="168"/>
      <c r="O45" s="177"/>
      <c r="P45" s="168"/>
      <c r="Q45" s="168"/>
      <c r="R45" s="170"/>
      <c r="S45" s="168"/>
      <c r="T45" s="168"/>
      <c r="U45" s="170"/>
      <c r="V45" s="170"/>
      <c r="W45" s="168"/>
      <c r="X45" s="168"/>
      <c r="Y45" s="168"/>
      <c r="Z45" s="168"/>
      <c r="AA45" s="168"/>
      <c r="AB45" s="170"/>
      <c r="AC45" s="168"/>
      <c r="AD45" s="168"/>
      <c r="AE45" s="168"/>
      <c r="AF45" s="168"/>
      <c r="AG45" s="168"/>
      <c r="AH45" s="168"/>
      <c r="AI45" s="165"/>
      <c r="AJ45" s="233">
        <f>SUM(AI43:AI45)</f>
        <v>0</v>
      </c>
    </row>
    <row r="46" spans="1:38">
      <c r="A46" s="166" t="s">
        <v>194</v>
      </c>
      <c r="B46" s="191"/>
      <c r="C46" s="236"/>
      <c r="D46" s="236"/>
      <c r="E46" s="236"/>
      <c r="F46" s="236"/>
      <c r="G46" s="175"/>
      <c r="H46" s="175"/>
      <c r="I46" s="236"/>
      <c r="J46" s="236"/>
      <c r="K46" s="236"/>
      <c r="L46" s="236"/>
      <c r="M46" s="236"/>
      <c r="N46" s="236"/>
      <c r="O46" s="172"/>
      <c r="P46" s="175"/>
      <c r="Q46" s="175"/>
      <c r="R46" s="175"/>
      <c r="S46" s="236"/>
      <c r="T46" s="236"/>
      <c r="U46" s="236"/>
      <c r="V46" s="175"/>
      <c r="W46" s="175"/>
      <c r="X46" s="253"/>
      <c r="Y46" s="253"/>
      <c r="Z46" s="253"/>
      <c r="AA46" s="253"/>
      <c r="AB46" s="175"/>
      <c r="AC46" s="175"/>
      <c r="AD46" s="253"/>
      <c r="AE46" s="253"/>
      <c r="AF46" s="236"/>
      <c r="AG46" s="253"/>
      <c r="AH46" s="253">
        <v>296293200</v>
      </c>
      <c r="AI46" s="165">
        <f t="shared" si="1"/>
        <v>0</v>
      </c>
      <c r="AJ46" s="234"/>
    </row>
    <row r="47" spans="1:38">
      <c r="A47" s="166" t="s">
        <v>192</v>
      </c>
      <c r="B47" s="191"/>
      <c r="C47" s="236"/>
      <c r="D47" s="236"/>
      <c r="E47" s="236"/>
      <c r="F47" s="236"/>
      <c r="G47" s="175"/>
      <c r="H47" s="175"/>
      <c r="I47" s="236"/>
      <c r="J47" s="236"/>
      <c r="K47" s="236"/>
      <c r="L47" s="236"/>
      <c r="M47" s="236"/>
      <c r="N47" s="236"/>
      <c r="O47" s="172"/>
      <c r="P47" s="175"/>
      <c r="Q47" s="175"/>
      <c r="R47" s="175"/>
      <c r="S47" s="236"/>
      <c r="T47" s="236"/>
      <c r="U47" s="236"/>
      <c r="V47" s="175"/>
      <c r="W47" s="175"/>
      <c r="X47" s="253"/>
      <c r="Y47" s="253"/>
      <c r="Z47" s="253"/>
      <c r="AA47" s="253"/>
      <c r="AB47" s="175"/>
      <c r="AC47" s="175"/>
      <c r="AD47" s="253"/>
      <c r="AE47" s="253"/>
      <c r="AF47" s="236"/>
      <c r="AG47" s="253"/>
      <c r="AH47" s="253">
        <v>296293200</v>
      </c>
      <c r="AI47" s="165">
        <f t="shared" si="1"/>
        <v>0</v>
      </c>
      <c r="AJ47" s="234">
        <f>SUM(AI46:AI47)</f>
        <v>0</v>
      </c>
    </row>
    <row r="48" spans="1:38">
      <c r="A48" s="166" t="s">
        <v>326</v>
      </c>
      <c r="B48" s="191"/>
      <c r="C48" s="236"/>
      <c r="D48" s="236"/>
      <c r="E48" s="236"/>
      <c r="F48" s="236"/>
      <c r="G48" s="175"/>
      <c r="H48" s="175"/>
      <c r="I48" s="236"/>
      <c r="J48" s="236"/>
      <c r="K48" s="236"/>
      <c r="L48" s="236"/>
      <c r="M48" s="236"/>
      <c r="N48" s="236"/>
      <c r="O48" s="172"/>
      <c r="P48" s="175"/>
      <c r="Q48" s="175"/>
      <c r="R48" s="175"/>
      <c r="S48" s="236"/>
      <c r="T48" s="236"/>
      <c r="U48" s="236"/>
      <c r="V48" s="175"/>
      <c r="W48" s="175"/>
      <c r="X48" s="253"/>
      <c r="Y48" s="253"/>
      <c r="Z48" s="253"/>
      <c r="AA48" s="253"/>
      <c r="AB48" s="175"/>
      <c r="AC48" s="175"/>
      <c r="AD48" s="253"/>
      <c r="AE48" s="253"/>
      <c r="AF48" s="236"/>
      <c r="AG48" s="253"/>
      <c r="AH48" s="253">
        <v>103374298</v>
      </c>
      <c r="AI48" s="165">
        <f t="shared" si="1"/>
        <v>0</v>
      </c>
      <c r="AJ48" s="234"/>
      <c r="AK48" s="184"/>
      <c r="AL48" s="186">
        <f>6325269+60889034</f>
        <v>67214303</v>
      </c>
    </row>
    <row r="49" spans="1:38">
      <c r="A49" s="187" t="s">
        <v>327</v>
      </c>
      <c r="B49" s="191"/>
      <c r="C49" s="236"/>
      <c r="D49" s="236"/>
      <c r="E49" s="236"/>
      <c r="F49" s="236"/>
      <c r="G49" s="175"/>
      <c r="H49" s="175"/>
      <c r="I49" s="236"/>
      <c r="J49" s="236"/>
      <c r="K49" s="236"/>
      <c r="L49" s="236"/>
      <c r="M49" s="236"/>
      <c r="N49" s="236"/>
      <c r="O49" s="172"/>
      <c r="P49" s="175"/>
      <c r="Q49" s="175"/>
      <c r="R49" s="175"/>
      <c r="S49" s="236"/>
      <c r="T49" s="236"/>
      <c r="U49" s="236"/>
      <c r="V49" s="175"/>
      <c r="W49" s="175"/>
      <c r="X49" s="253"/>
      <c r="Y49" s="253"/>
      <c r="Z49" s="253"/>
      <c r="AA49" s="253"/>
      <c r="AB49" s="175"/>
      <c r="AC49" s="175"/>
      <c r="AD49" s="253"/>
      <c r="AE49" s="253"/>
      <c r="AF49" s="236"/>
      <c r="AG49" s="253"/>
      <c r="AH49" s="253">
        <v>61709422</v>
      </c>
      <c r="AI49" s="165">
        <f t="shared" si="1"/>
        <v>0</v>
      </c>
      <c r="AJ49" s="234"/>
      <c r="AK49" s="184"/>
      <c r="AL49" s="186"/>
    </row>
    <row r="50" spans="1:38">
      <c r="A50" s="187" t="s">
        <v>328</v>
      </c>
      <c r="B50" s="191"/>
      <c r="C50" s="236"/>
      <c r="D50" s="236"/>
      <c r="E50" s="236"/>
      <c r="F50" s="236"/>
      <c r="G50" s="175"/>
      <c r="H50" s="175"/>
      <c r="I50" s="236"/>
      <c r="J50" s="236"/>
      <c r="K50" s="236"/>
      <c r="L50" s="236"/>
      <c r="M50" s="236"/>
      <c r="N50" s="236"/>
      <c r="O50" s="172"/>
      <c r="P50" s="175"/>
      <c r="Q50" s="175"/>
      <c r="R50" s="175"/>
      <c r="S50" s="236"/>
      <c r="T50" s="236"/>
      <c r="U50" s="236"/>
      <c r="V50" s="175"/>
      <c r="W50" s="175"/>
      <c r="X50" s="253"/>
      <c r="Y50" s="253"/>
      <c r="Z50" s="253"/>
      <c r="AA50" s="253"/>
      <c r="AB50" s="175"/>
      <c r="AC50" s="175"/>
      <c r="AD50" s="253"/>
      <c r="AE50" s="253"/>
      <c r="AF50" s="236"/>
      <c r="AG50" s="253"/>
      <c r="AH50" s="253">
        <v>349578345</v>
      </c>
      <c r="AI50" s="165">
        <f t="shared" si="1"/>
        <v>0</v>
      </c>
      <c r="AJ50" s="234"/>
      <c r="AK50" s="184"/>
      <c r="AL50" s="185"/>
    </row>
    <row r="51" spans="1:38">
      <c r="A51" s="187" t="s">
        <v>330</v>
      </c>
      <c r="B51" s="191"/>
      <c r="C51" s="236"/>
      <c r="D51" s="236"/>
      <c r="E51" s="236"/>
      <c r="F51" s="236"/>
      <c r="G51" s="175"/>
      <c r="H51" s="175"/>
      <c r="I51" s="236"/>
      <c r="J51" s="236"/>
      <c r="K51" s="236"/>
      <c r="L51" s="236"/>
      <c r="M51" s="236"/>
      <c r="N51" s="236"/>
      <c r="O51" s="172"/>
      <c r="P51" s="175"/>
      <c r="Q51" s="175"/>
      <c r="R51" s="175"/>
      <c r="S51" s="236"/>
      <c r="T51" s="236"/>
      <c r="U51" s="236"/>
      <c r="V51" s="175"/>
      <c r="W51" s="175"/>
      <c r="X51" s="253"/>
      <c r="Y51" s="253"/>
      <c r="Z51" s="253"/>
      <c r="AA51" s="253"/>
      <c r="AB51" s="175"/>
      <c r="AC51" s="175"/>
      <c r="AD51" s="253"/>
      <c r="AE51" s="253"/>
      <c r="AF51" s="236"/>
      <c r="AG51" s="253"/>
      <c r="AH51" s="253">
        <v>416002400</v>
      </c>
      <c r="AI51" s="165">
        <f t="shared" si="1"/>
        <v>0</v>
      </c>
      <c r="AJ51" s="234">
        <f>SUM(AI48:AI51)</f>
        <v>0</v>
      </c>
      <c r="AK51" s="184"/>
      <c r="AL51" s="185"/>
    </row>
    <row r="52" spans="1:38">
      <c r="A52" s="166" t="s">
        <v>24</v>
      </c>
      <c r="B52" s="191"/>
      <c r="C52" s="175"/>
      <c r="D52" s="175"/>
      <c r="E52" s="175"/>
      <c r="F52" s="175"/>
      <c r="G52" s="170"/>
      <c r="H52" s="171"/>
      <c r="I52" s="175"/>
      <c r="J52" s="175"/>
      <c r="K52" s="175"/>
      <c r="L52" s="172"/>
      <c r="M52" s="175"/>
      <c r="N52" s="175"/>
      <c r="O52" s="177"/>
      <c r="P52" s="175"/>
      <c r="Q52" s="175"/>
      <c r="R52" s="170"/>
      <c r="S52" s="175"/>
      <c r="T52" s="175"/>
      <c r="U52" s="170"/>
      <c r="V52" s="170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65">
        <f t="shared" si="1"/>
        <v>0</v>
      </c>
      <c r="AJ52" s="235"/>
      <c r="AK52" s="189"/>
    </row>
    <row r="53" spans="1:38">
      <c r="A53" s="166" t="s">
        <v>460</v>
      </c>
      <c r="B53" s="191"/>
      <c r="C53" s="175"/>
      <c r="D53" s="175"/>
      <c r="E53" s="175"/>
      <c r="F53" s="175"/>
      <c r="G53" s="170"/>
      <c r="H53" s="171"/>
      <c r="I53" s="175"/>
      <c r="J53" s="175"/>
      <c r="K53" s="175"/>
      <c r="L53" s="172"/>
      <c r="M53" s="175"/>
      <c r="N53" s="175"/>
      <c r="O53" s="177"/>
      <c r="P53" s="175"/>
      <c r="Q53" s="175"/>
      <c r="R53" s="170"/>
      <c r="S53" s="175"/>
      <c r="T53" s="175"/>
      <c r="U53" s="170"/>
      <c r="V53" s="170"/>
      <c r="W53" s="175"/>
      <c r="X53" s="175"/>
      <c r="Y53" s="175"/>
      <c r="Z53" s="172">
        <v>241393880</v>
      </c>
      <c r="AA53" s="175"/>
      <c r="AB53" s="175"/>
      <c r="AC53" s="175"/>
      <c r="AD53" s="175"/>
      <c r="AE53" s="175"/>
      <c r="AF53" s="175"/>
      <c r="AG53" s="175"/>
      <c r="AH53" s="175"/>
      <c r="AI53" s="165"/>
      <c r="AJ53" s="235"/>
      <c r="AK53" s="189"/>
    </row>
    <row r="54" spans="1:38">
      <c r="A54" s="166" t="s">
        <v>378</v>
      </c>
      <c r="B54" s="191"/>
      <c r="C54" s="236"/>
      <c r="D54" s="236"/>
      <c r="E54" s="236"/>
      <c r="F54" s="236"/>
      <c r="G54" s="175"/>
      <c r="H54" s="175"/>
      <c r="I54" s="236"/>
      <c r="J54" s="236"/>
      <c r="K54" s="240"/>
      <c r="L54" s="172">
        <v>1339904399</v>
      </c>
      <c r="M54" s="236"/>
      <c r="N54" s="236"/>
      <c r="O54" s="172"/>
      <c r="P54" s="175"/>
      <c r="Q54" s="175"/>
      <c r="R54" s="175"/>
      <c r="S54" s="236"/>
      <c r="T54" s="236"/>
      <c r="U54" s="236"/>
      <c r="V54" s="175"/>
      <c r="W54" s="175"/>
      <c r="X54" s="172">
        <v>1521580576</v>
      </c>
      <c r="Y54" s="175"/>
      <c r="Z54" s="175"/>
      <c r="AA54" s="175"/>
      <c r="AB54" s="175"/>
      <c r="AC54" s="175"/>
      <c r="AD54" s="175"/>
      <c r="AE54" s="175"/>
      <c r="AF54" s="236"/>
      <c r="AG54" s="175"/>
      <c r="AH54" s="175"/>
      <c r="AI54" s="165">
        <f>SUM(C54:AG54)</f>
        <v>2861484975</v>
      </c>
      <c r="AJ54" s="234"/>
      <c r="AK54" s="189"/>
    </row>
    <row r="55" spans="1:38">
      <c r="A55" s="166" t="s">
        <v>421</v>
      </c>
      <c r="B55" s="191"/>
      <c r="C55" s="175"/>
      <c r="D55" s="175"/>
      <c r="E55" s="175"/>
      <c r="F55" s="175"/>
      <c r="G55" s="175"/>
      <c r="H55" s="175"/>
      <c r="I55" s="175"/>
      <c r="J55" s="175"/>
      <c r="K55" s="175"/>
      <c r="L55" s="172"/>
      <c r="M55" s="175"/>
      <c r="N55" s="175"/>
      <c r="O55" s="172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65">
        <f t="shared" si="1"/>
        <v>0</v>
      </c>
      <c r="AJ55" s="234"/>
      <c r="AK55" s="189"/>
    </row>
    <row r="56" spans="1:38">
      <c r="A56" s="166" t="s">
        <v>380</v>
      </c>
      <c r="B56" s="191"/>
      <c r="C56" s="175"/>
      <c r="D56" s="175"/>
      <c r="E56" s="175"/>
      <c r="F56" s="175"/>
      <c r="G56" s="175"/>
      <c r="H56" s="175"/>
      <c r="I56" s="175"/>
      <c r="J56" s="175"/>
      <c r="K56" s="175"/>
      <c r="L56" s="172"/>
      <c r="M56" s="175"/>
      <c r="N56" s="175"/>
      <c r="O56" s="172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65">
        <f t="shared" si="1"/>
        <v>0</v>
      </c>
      <c r="AJ56" s="234">
        <f>SUM(AI54:AI56)</f>
        <v>2861484975</v>
      </c>
      <c r="AK56" s="189"/>
    </row>
    <row r="57" spans="1:38">
      <c r="A57" s="166" t="s">
        <v>461</v>
      </c>
      <c r="B57" s="191"/>
      <c r="C57" s="236"/>
      <c r="D57" s="236"/>
      <c r="E57" s="236"/>
      <c r="F57" s="236"/>
      <c r="G57" s="175"/>
      <c r="H57" s="175"/>
      <c r="I57" s="236"/>
      <c r="J57" s="236"/>
      <c r="K57" s="240"/>
      <c r="L57" s="172">
        <v>434565803</v>
      </c>
      <c r="M57" s="236"/>
      <c r="N57" s="236"/>
      <c r="O57" s="172"/>
      <c r="P57" s="175"/>
      <c r="Q57" s="175"/>
      <c r="R57" s="175"/>
      <c r="S57" s="236"/>
      <c r="T57" s="236"/>
      <c r="U57" s="236"/>
      <c r="V57" s="175"/>
      <c r="W57" s="175"/>
      <c r="X57" s="175"/>
      <c r="Y57" s="175"/>
      <c r="Z57" s="175"/>
      <c r="AA57" s="175"/>
      <c r="AB57" s="175"/>
      <c r="AC57" s="175"/>
      <c r="AD57" s="172">
        <v>448991924</v>
      </c>
      <c r="AE57" s="175"/>
      <c r="AF57" s="236"/>
      <c r="AG57" s="175"/>
      <c r="AH57" s="175"/>
      <c r="AI57" s="165"/>
      <c r="AJ57" s="234"/>
      <c r="AK57" s="189"/>
    </row>
    <row r="58" spans="1:38">
      <c r="A58" s="166" t="s">
        <v>333</v>
      </c>
      <c r="B58" s="191"/>
      <c r="C58" s="237"/>
      <c r="D58" s="237"/>
      <c r="E58" s="237"/>
      <c r="F58" s="237"/>
      <c r="G58" s="167"/>
      <c r="H58" s="175"/>
      <c r="I58" s="237"/>
      <c r="J58" s="237"/>
      <c r="K58" s="237"/>
      <c r="L58" s="168"/>
      <c r="M58" s="237"/>
      <c r="N58" s="237"/>
      <c r="O58" s="168"/>
      <c r="P58" s="167"/>
      <c r="Q58" s="167"/>
      <c r="R58" s="167"/>
      <c r="S58" s="237"/>
      <c r="T58" s="237"/>
      <c r="U58" s="237"/>
      <c r="V58" s="167"/>
      <c r="W58" s="167"/>
      <c r="X58" s="254"/>
      <c r="Y58" s="254"/>
      <c r="Z58" s="254"/>
      <c r="AA58" s="254"/>
      <c r="AB58" s="167"/>
      <c r="AC58" s="167"/>
      <c r="AD58" s="254"/>
      <c r="AE58" s="254"/>
      <c r="AF58" s="237"/>
      <c r="AG58" s="254"/>
      <c r="AH58" s="254">
        <v>61003007</v>
      </c>
      <c r="AI58" s="165">
        <f t="shared" si="1"/>
        <v>0</v>
      </c>
      <c r="AJ58" s="233"/>
    </row>
    <row r="59" spans="1:38">
      <c r="A59" s="166" t="s">
        <v>334</v>
      </c>
      <c r="B59" s="191"/>
      <c r="C59" s="237"/>
      <c r="D59" s="237"/>
      <c r="E59" s="237"/>
      <c r="F59" s="237"/>
      <c r="G59" s="167"/>
      <c r="H59" s="175"/>
      <c r="I59" s="237"/>
      <c r="J59" s="237"/>
      <c r="K59" s="237"/>
      <c r="L59" s="237"/>
      <c r="M59" s="237"/>
      <c r="N59" s="237"/>
      <c r="O59" s="168"/>
      <c r="P59" s="167"/>
      <c r="Q59" s="167"/>
      <c r="R59" s="167"/>
      <c r="S59" s="237"/>
      <c r="T59" s="237"/>
      <c r="U59" s="237"/>
      <c r="V59" s="167"/>
      <c r="W59" s="167"/>
      <c r="X59" s="254"/>
      <c r="Y59" s="254"/>
      <c r="Z59" s="254"/>
      <c r="AA59" s="254"/>
      <c r="AB59" s="167"/>
      <c r="AC59" s="167"/>
      <c r="AD59" s="254"/>
      <c r="AE59" s="254"/>
      <c r="AF59" s="237"/>
      <c r="AG59" s="254"/>
      <c r="AH59" s="254">
        <f>127319117+12869993</f>
        <v>140189110</v>
      </c>
      <c r="AI59" s="165">
        <f t="shared" si="1"/>
        <v>0</v>
      </c>
      <c r="AJ59" s="233"/>
    </row>
    <row r="60" spans="1:38">
      <c r="A60" s="166" t="s">
        <v>335</v>
      </c>
      <c r="B60" s="191"/>
      <c r="C60" s="237"/>
      <c r="D60" s="237"/>
      <c r="E60" s="237"/>
      <c r="F60" s="237"/>
      <c r="G60" s="167"/>
      <c r="H60" s="175"/>
      <c r="I60" s="237"/>
      <c r="J60" s="237"/>
      <c r="K60" s="237"/>
      <c r="L60" s="237"/>
      <c r="M60" s="237"/>
      <c r="N60" s="237"/>
      <c r="O60" s="168"/>
      <c r="P60" s="167"/>
      <c r="Q60" s="167"/>
      <c r="R60" s="167"/>
      <c r="S60" s="237"/>
      <c r="T60" s="237"/>
      <c r="U60" s="237"/>
      <c r="V60" s="167"/>
      <c r="W60" s="167"/>
      <c r="X60" s="254"/>
      <c r="Y60" s="254"/>
      <c r="Z60" s="254"/>
      <c r="AA60" s="254"/>
      <c r="AB60" s="167"/>
      <c r="AC60" s="167"/>
      <c r="AD60" s="254"/>
      <c r="AE60" s="254"/>
      <c r="AF60" s="237"/>
      <c r="AG60" s="254"/>
      <c r="AH60" s="254">
        <v>149745116</v>
      </c>
      <c r="AI60" s="165">
        <f t="shared" si="1"/>
        <v>0</v>
      </c>
      <c r="AJ60" s="233"/>
      <c r="AK60" s="189"/>
    </row>
    <row r="61" spans="1:38">
      <c r="A61" s="166" t="s">
        <v>336</v>
      </c>
      <c r="B61" s="191"/>
      <c r="C61" s="237"/>
      <c r="D61" s="237"/>
      <c r="E61" s="237"/>
      <c r="F61" s="237"/>
      <c r="G61" s="167"/>
      <c r="H61" s="175"/>
      <c r="I61" s="237"/>
      <c r="J61" s="237"/>
      <c r="K61" s="244"/>
      <c r="L61" s="244"/>
      <c r="M61" s="237"/>
      <c r="N61" s="237"/>
      <c r="O61" s="168"/>
      <c r="P61" s="168"/>
      <c r="Q61" s="167"/>
      <c r="R61" s="168"/>
      <c r="S61" s="237"/>
      <c r="T61" s="237"/>
      <c r="U61" s="237"/>
      <c r="V61" s="167"/>
      <c r="W61" s="167"/>
      <c r="X61" s="254"/>
      <c r="Y61" s="254"/>
      <c r="Z61" s="254"/>
      <c r="AA61" s="254"/>
      <c r="AB61" s="167"/>
      <c r="AC61" s="167"/>
      <c r="AD61" s="254"/>
      <c r="AE61" s="254"/>
      <c r="AF61" s="237"/>
      <c r="AG61" s="254"/>
      <c r="AH61" s="254">
        <f>16444991+3574998+10724994</f>
        <v>30744983</v>
      </c>
      <c r="AI61" s="165">
        <f t="shared" si="1"/>
        <v>0</v>
      </c>
      <c r="AJ61" s="233">
        <f>SUM(AI58:AI61)</f>
        <v>0</v>
      </c>
    </row>
    <row r="62" spans="1:38">
      <c r="A62" s="166" t="s">
        <v>337</v>
      </c>
      <c r="B62" s="191"/>
      <c r="C62" s="168">
        <v>192681720</v>
      </c>
      <c r="D62" s="167"/>
      <c r="E62" s="167"/>
      <c r="F62" s="167"/>
      <c r="G62" s="167"/>
      <c r="H62" s="175"/>
      <c r="I62" s="167"/>
      <c r="J62" s="167"/>
      <c r="K62" s="168">
        <v>32281200</v>
      </c>
      <c r="L62" s="168">
        <v>32060700</v>
      </c>
      <c r="M62" s="167"/>
      <c r="N62" s="167"/>
      <c r="O62" s="168">
        <v>64306620</v>
      </c>
      <c r="P62" s="168">
        <v>192425940</v>
      </c>
      <c r="Q62" s="167"/>
      <c r="R62" s="168">
        <v>32016600</v>
      </c>
      <c r="S62" s="167"/>
      <c r="T62" s="167"/>
      <c r="U62" s="168"/>
      <c r="V62" s="167"/>
      <c r="W62" s="167"/>
      <c r="X62" s="168">
        <v>64430100</v>
      </c>
      <c r="Y62" s="167"/>
      <c r="Z62" s="168">
        <v>201819416</v>
      </c>
      <c r="AA62" s="168"/>
      <c r="AB62" s="167"/>
      <c r="AC62" s="167"/>
      <c r="AD62" s="168"/>
      <c r="AE62" s="168">
        <v>160312320</v>
      </c>
      <c r="AF62" s="167"/>
      <c r="AG62" s="167"/>
      <c r="AH62" s="167"/>
      <c r="AI62" s="165">
        <f t="shared" si="1"/>
        <v>972334616</v>
      </c>
      <c r="AJ62" s="233"/>
    </row>
    <row r="63" spans="1:38">
      <c r="A63" s="166" t="s">
        <v>27</v>
      </c>
      <c r="B63" s="191"/>
      <c r="C63" s="168"/>
      <c r="D63" s="168"/>
      <c r="E63" s="168"/>
      <c r="F63" s="168"/>
      <c r="G63" s="172"/>
      <c r="H63" s="172"/>
      <c r="I63" s="168"/>
      <c r="J63" s="168"/>
      <c r="K63" s="168"/>
      <c r="L63" s="168"/>
      <c r="M63" s="168"/>
      <c r="N63" s="168"/>
      <c r="O63" s="168"/>
      <c r="P63" s="168"/>
      <c r="Q63" s="167"/>
      <c r="R63" s="168">
        <v>99900000</v>
      </c>
      <c r="S63" s="167"/>
      <c r="T63" s="167"/>
      <c r="U63" s="167"/>
      <c r="V63" s="167"/>
      <c r="W63" s="167"/>
      <c r="X63" s="167"/>
      <c r="Y63" s="168"/>
      <c r="Z63" s="168">
        <v>99900000</v>
      </c>
      <c r="AA63" s="168"/>
      <c r="AB63" s="168"/>
      <c r="AC63" s="168"/>
      <c r="AD63" s="168"/>
      <c r="AE63" s="168"/>
      <c r="AF63" s="168"/>
      <c r="AG63" s="168"/>
      <c r="AH63" s="168"/>
      <c r="AI63" s="165">
        <f t="shared" si="1"/>
        <v>199800000</v>
      </c>
      <c r="AJ63" s="233"/>
    </row>
    <row r="64" spans="1:38">
      <c r="A64" s="187" t="s">
        <v>422</v>
      </c>
      <c r="B64" s="191"/>
      <c r="C64" s="167"/>
      <c r="D64" s="167"/>
      <c r="E64" s="167"/>
      <c r="F64" s="167"/>
      <c r="G64" s="167"/>
      <c r="H64" s="175"/>
      <c r="I64" s="167"/>
      <c r="J64" s="167"/>
      <c r="K64" s="168"/>
      <c r="L64" s="168"/>
      <c r="M64" s="167"/>
      <c r="N64" s="167"/>
      <c r="O64" s="168"/>
      <c r="P64" s="168"/>
      <c r="Q64" s="167"/>
      <c r="R64" s="168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5">
        <f t="shared" si="1"/>
        <v>0</v>
      </c>
      <c r="AJ64" s="233"/>
    </row>
    <row r="65" spans="1:36">
      <c r="A65" s="187" t="s">
        <v>416</v>
      </c>
      <c r="B65" s="191"/>
      <c r="C65" s="168">
        <v>55178815</v>
      </c>
      <c r="D65" s="167"/>
      <c r="E65" s="167"/>
      <c r="F65" s="167"/>
      <c r="G65" s="167"/>
      <c r="H65" s="175"/>
      <c r="I65" s="167"/>
      <c r="J65" s="167"/>
      <c r="K65" s="167"/>
      <c r="L65" s="167"/>
      <c r="M65" s="167"/>
      <c r="N65" s="167"/>
      <c r="O65" s="168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5"/>
      <c r="AJ65" s="233"/>
    </row>
    <row r="66" spans="1:36">
      <c r="A66" s="187" t="s">
        <v>423</v>
      </c>
      <c r="B66" s="191"/>
      <c r="C66" s="167"/>
      <c r="D66" s="167"/>
      <c r="E66" s="167"/>
      <c r="F66" s="167"/>
      <c r="G66" s="167"/>
      <c r="H66" s="175"/>
      <c r="I66" s="167"/>
      <c r="J66" s="167"/>
      <c r="K66" s="167"/>
      <c r="L66" s="167"/>
      <c r="M66" s="167"/>
      <c r="N66" s="167"/>
      <c r="O66" s="168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5">
        <f t="shared" si="1"/>
        <v>0</v>
      </c>
      <c r="AJ66" s="233"/>
    </row>
    <row r="67" spans="1:36">
      <c r="A67" s="187" t="s">
        <v>424</v>
      </c>
      <c r="B67" s="191"/>
      <c r="C67" s="167"/>
      <c r="D67" s="167"/>
      <c r="E67" s="167"/>
      <c r="F67" s="167"/>
      <c r="G67" s="167"/>
      <c r="H67" s="175"/>
      <c r="I67" s="167"/>
      <c r="J67" s="167"/>
      <c r="K67" s="167"/>
      <c r="L67" s="167"/>
      <c r="M67" s="167"/>
      <c r="N67" s="167"/>
      <c r="O67" s="168"/>
      <c r="P67" s="167"/>
      <c r="Q67" s="167"/>
      <c r="R67" s="167"/>
      <c r="S67" s="167"/>
      <c r="T67" s="167"/>
      <c r="U67" s="167"/>
      <c r="V67" s="168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5">
        <f t="shared" si="1"/>
        <v>0</v>
      </c>
      <c r="AJ67" s="233"/>
    </row>
    <row r="68" spans="1:36">
      <c r="A68" s="166" t="s">
        <v>30</v>
      </c>
      <c r="B68" s="191"/>
      <c r="C68" s="170"/>
      <c r="D68" s="170"/>
      <c r="E68" s="170"/>
      <c r="F68" s="170"/>
      <c r="G68" s="170"/>
      <c r="H68" s="171"/>
      <c r="I68" s="170"/>
      <c r="J68" s="170"/>
      <c r="K68" s="170"/>
      <c r="L68" s="170"/>
      <c r="M68" s="170"/>
      <c r="N68" s="170"/>
      <c r="O68" s="177"/>
      <c r="P68" s="170"/>
      <c r="Q68" s="170"/>
      <c r="R68" s="170"/>
      <c r="S68" s="170"/>
      <c r="T68" s="170"/>
      <c r="U68" s="167"/>
      <c r="V68" s="168">
        <v>747154943</v>
      </c>
      <c r="W68" s="171">
        <v>743270623</v>
      </c>
      <c r="X68" s="171">
        <v>752985035</v>
      </c>
      <c r="Y68" s="167"/>
      <c r="Z68" s="180">
        <v>1493270207</v>
      </c>
      <c r="AA68" s="168"/>
      <c r="AB68" s="167"/>
      <c r="AC68" s="167"/>
      <c r="AD68" s="168"/>
      <c r="AE68" s="168"/>
      <c r="AF68" s="167"/>
      <c r="AG68" s="170"/>
      <c r="AH68" s="170"/>
      <c r="AI68" s="165">
        <f t="shared" si="1"/>
        <v>3736680808</v>
      </c>
      <c r="AJ68" s="170"/>
    </row>
    <row r="69" spans="1:36">
      <c r="A69" s="166" t="s">
        <v>347</v>
      </c>
      <c r="B69" s="191"/>
      <c r="C69" s="170"/>
      <c r="D69" s="170"/>
      <c r="E69" s="170"/>
      <c r="F69" s="170"/>
      <c r="G69" s="170"/>
      <c r="H69" s="171"/>
      <c r="I69" s="170"/>
      <c r="J69" s="170"/>
      <c r="K69" s="170"/>
      <c r="L69" s="170"/>
      <c r="M69" s="170"/>
      <c r="N69" s="170"/>
      <c r="O69" s="177"/>
      <c r="P69" s="170"/>
      <c r="Q69" s="170"/>
      <c r="R69" s="170"/>
      <c r="S69" s="170"/>
      <c r="T69" s="170"/>
      <c r="U69" s="168"/>
      <c r="V69" s="168"/>
      <c r="W69" s="170"/>
      <c r="X69" s="170"/>
      <c r="Y69" s="167"/>
      <c r="Z69" s="167"/>
      <c r="AA69" s="168"/>
      <c r="AB69" s="167"/>
      <c r="AC69" s="167"/>
      <c r="AD69" s="168">
        <v>226436496</v>
      </c>
      <c r="AE69" s="168"/>
      <c r="AF69" s="167"/>
      <c r="AG69" s="170"/>
      <c r="AH69" s="170"/>
      <c r="AI69" s="165">
        <f t="shared" si="1"/>
        <v>226436496</v>
      </c>
      <c r="AJ69" s="170"/>
    </row>
    <row r="70" spans="1:36">
      <c r="A70" s="192" t="s">
        <v>476</v>
      </c>
      <c r="B70" s="191"/>
      <c r="C70" s="168"/>
      <c r="D70" s="168"/>
      <c r="E70" s="168"/>
      <c r="F70" s="168"/>
      <c r="G70" s="171"/>
      <c r="H70" s="171"/>
      <c r="I70" s="168"/>
      <c r="J70" s="168"/>
      <c r="K70" s="168"/>
      <c r="L70" s="168"/>
      <c r="M70" s="168"/>
      <c r="N70" s="168"/>
      <c r="O70" s="168"/>
      <c r="P70" s="168">
        <v>482809391</v>
      </c>
      <c r="Q70" s="168"/>
      <c r="R70" s="170"/>
      <c r="S70" s="168"/>
      <c r="T70" s="168"/>
      <c r="U70" s="168"/>
      <c r="V70" s="168"/>
      <c r="W70" s="168">
        <v>36371111</v>
      </c>
      <c r="X70" s="168"/>
      <c r="Y70" s="168"/>
      <c r="Z70" s="168"/>
      <c r="AA70" s="168"/>
      <c r="AB70" s="168"/>
      <c r="AC70" s="168"/>
      <c r="AD70" s="168">
        <v>35000000</v>
      </c>
      <c r="AE70" s="168"/>
      <c r="AF70" s="168"/>
      <c r="AG70" s="168">
        <v>202787778</v>
      </c>
      <c r="AH70" s="168"/>
      <c r="AI70" s="165">
        <f t="shared" si="1"/>
        <v>756968280</v>
      </c>
      <c r="AJ70" s="167"/>
    </row>
    <row r="71" spans="1:36">
      <c r="A71" s="192" t="s">
        <v>47</v>
      </c>
      <c r="B71" s="191"/>
      <c r="C71" s="168"/>
      <c r="D71" s="168"/>
      <c r="E71" s="168"/>
      <c r="F71" s="168"/>
      <c r="G71" s="168"/>
      <c r="H71" s="172"/>
      <c r="I71" s="168"/>
      <c r="J71" s="168"/>
      <c r="K71" s="168"/>
      <c r="L71" s="168"/>
      <c r="M71" s="168"/>
      <c r="N71" s="168"/>
      <c r="O71" s="168"/>
      <c r="P71" s="168"/>
      <c r="Q71" s="167"/>
      <c r="R71" s="170"/>
      <c r="S71" s="167"/>
      <c r="T71" s="167"/>
      <c r="U71" s="168"/>
      <c r="V71" s="168"/>
      <c r="W71" s="167"/>
      <c r="X71" s="167"/>
      <c r="Y71" s="168"/>
      <c r="Z71" s="168"/>
      <c r="AA71" s="168"/>
      <c r="AB71" s="168"/>
      <c r="AC71" s="168">
        <v>123433334</v>
      </c>
      <c r="AD71" s="168">
        <v>17070000</v>
      </c>
      <c r="AE71" s="168"/>
      <c r="AF71" s="168"/>
      <c r="AG71" s="168"/>
      <c r="AH71" s="168"/>
      <c r="AI71" s="165">
        <f t="shared" si="1"/>
        <v>140503334</v>
      </c>
      <c r="AJ71" s="167"/>
    </row>
    <row r="72" spans="1:36">
      <c r="A72" s="192" t="s">
        <v>213</v>
      </c>
      <c r="B72" s="191"/>
      <c r="C72" s="168"/>
      <c r="D72" s="168"/>
      <c r="E72" s="168"/>
      <c r="F72" s="168"/>
      <c r="G72" s="168"/>
      <c r="H72" s="172">
        <v>500000000</v>
      </c>
      <c r="I72" s="168"/>
      <c r="J72" s="168"/>
      <c r="K72" s="168"/>
      <c r="L72" s="168"/>
      <c r="M72" s="168"/>
      <c r="N72" s="168"/>
      <c r="O72" s="168">
        <v>1750000000</v>
      </c>
      <c r="P72" s="168"/>
      <c r="Q72" s="168"/>
      <c r="R72" s="171"/>
      <c r="S72" s="168"/>
      <c r="T72" s="168"/>
      <c r="U72" s="171"/>
      <c r="V72" s="171">
        <v>2000000000</v>
      </c>
      <c r="W72" s="168"/>
      <c r="X72" s="168"/>
      <c r="Y72" s="168"/>
      <c r="Z72" s="168">
        <v>500000000</v>
      </c>
      <c r="AA72" s="168"/>
      <c r="AB72" s="168"/>
      <c r="AC72" s="168"/>
      <c r="AD72" s="168"/>
      <c r="AE72" s="168"/>
      <c r="AF72" s="168"/>
      <c r="AG72" s="168">
        <v>1000000000</v>
      </c>
      <c r="AH72" s="168"/>
      <c r="AI72" s="165">
        <f t="shared" si="1"/>
        <v>5750000000</v>
      </c>
      <c r="AJ72" s="167"/>
    </row>
    <row r="73" spans="1:36">
      <c r="A73" s="192" t="s">
        <v>119</v>
      </c>
      <c r="B73" s="191"/>
      <c r="C73" s="175"/>
      <c r="D73" s="175"/>
      <c r="E73" s="175"/>
      <c r="F73" s="175"/>
      <c r="G73" s="175"/>
      <c r="H73" s="172"/>
      <c r="I73" s="172"/>
      <c r="J73" s="172"/>
      <c r="K73" s="240"/>
      <c r="L73" s="240"/>
      <c r="M73" s="175"/>
      <c r="N73" s="240"/>
      <c r="O73" s="172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>
        <v>3500000000</v>
      </c>
      <c r="AH73" s="175"/>
      <c r="AI73" s="165">
        <f t="shared" si="1"/>
        <v>3500000000</v>
      </c>
      <c r="AJ73" s="175"/>
    </row>
    <row r="74" spans="1:36">
      <c r="A74" s="195" t="s">
        <v>32</v>
      </c>
      <c r="B74" s="196"/>
      <c r="C74" s="197">
        <f t="shared" ref="C74:AF74" si="2">SUM(C7:C73)</f>
        <v>247860535</v>
      </c>
      <c r="D74" s="197">
        <f t="shared" si="2"/>
        <v>28794014</v>
      </c>
      <c r="E74" s="197">
        <f t="shared" si="2"/>
        <v>139136070</v>
      </c>
      <c r="F74" s="197">
        <f t="shared" si="2"/>
        <v>0</v>
      </c>
      <c r="G74" s="197">
        <f t="shared" si="2"/>
        <v>0</v>
      </c>
      <c r="H74" s="197">
        <f t="shared" si="2"/>
        <v>1785935716</v>
      </c>
      <c r="I74" s="197">
        <f t="shared" si="2"/>
        <v>0</v>
      </c>
      <c r="J74" s="197">
        <f t="shared" si="2"/>
        <v>0</v>
      </c>
      <c r="K74" s="197">
        <f t="shared" si="2"/>
        <v>32281200</v>
      </c>
      <c r="L74" s="197">
        <f t="shared" si="2"/>
        <v>1806530902</v>
      </c>
      <c r="M74" s="197">
        <f t="shared" si="2"/>
        <v>0</v>
      </c>
      <c r="N74" s="197">
        <f t="shared" si="2"/>
        <v>0</v>
      </c>
      <c r="O74" s="197">
        <f t="shared" si="2"/>
        <v>1814306620</v>
      </c>
      <c r="P74" s="197">
        <f t="shared" si="2"/>
        <v>675235331</v>
      </c>
      <c r="Q74" s="197">
        <f t="shared" si="2"/>
        <v>0</v>
      </c>
      <c r="R74" s="197">
        <f t="shared" si="2"/>
        <v>131916600</v>
      </c>
      <c r="S74" s="197">
        <f t="shared" si="2"/>
        <v>0</v>
      </c>
      <c r="T74" s="197">
        <f t="shared" si="2"/>
        <v>0</v>
      </c>
      <c r="U74" s="197">
        <f t="shared" si="2"/>
        <v>0</v>
      </c>
      <c r="V74" s="197">
        <f t="shared" si="2"/>
        <v>4106340148</v>
      </c>
      <c r="W74" s="197">
        <f t="shared" si="2"/>
        <v>779641734</v>
      </c>
      <c r="X74" s="197">
        <f t="shared" si="2"/>
        <v>2362938780</v>
      </c>
      <c r="Y74" s="197">
        <f t="shared" si="2"/>
        <v>685976650</v>
      </c>
      <c r="Z74" s="197">
        <f t="shared" si="2"/>
        <v>2583274660</v>
      </c>
      <c r="AA74" s="197">
        <f t="shared" si="2"/>
        <v>0</v>
      </c>
      <c r="AB74" s="197">
        <f t="shared" si="2"/>
        <v>0</v>
      </c>
      <c r="AC74" s="197">
        <f t="shared" si="2"/>
        <v>504560648</v>
      </c>
      <c r="AD74" s="197">
        <f>SUM(AD7:AD73)</f>
        <v>1005655101</v>
      </c>
      <c r="AE74" s="197">
        <f t="shared" si="2"/>
        <v>160312320</v>
      </c>
      <c r="AF74" s="197">
        <f t="shared" si="2"/>
        <v>20528211</v>
      </c>
      <c r="AG74" s="197">
        <f>SUM(AG7:AG73)</f>
        <v>4959598790</v>
      </c>
      <c r="AH74" s="197"/>
      <c r="AI74" s="197">
        <f>SUM(AI7:AI73)</f>
        <v>20789051680</v>
      </c>
    </row>
    <row r="75" spans="1:36">
      <c r="A75" s="199"/>
      <c r="B75" s="162"/>
      <c r="C75" s="200"/>
      <c r="D75" s="200"/>
      <c r="E75" s="165"/>
      <c r="F75" s="165"/>
      <c r="G75" s="165"/>
      <c r="H75" s="165"/>
      <c r="I75" s="165"/>
      <c r="J75" s="200"/>
      <c r="K75" s="200"/>
      <c r="L75" s="165"/>
      <c r="M75" s="165"/>
      <c r="N75" s="165"/>
      <c r="O75" s="200"/>
      <c r="P75" s="165"/>
      <c r="Q75" s="165"/>
      <c r="R75" s="165"/>
      <c r="S75" s="165"/>
      <c r="T75" s="165"/>
      <c r="U75" s="165"/>
      <c r="V75" s="165"/>
      <c r="W75" s="190">
        <v>0</v>
      </c>
      <c r="X75" s="190">
        <v>0</v>
      </c>
      <c r="Y75" s="190">
        <v>0</v>
      </c>
      <c r="Z75" s="190">
        <v>0</v>
      </c>
      <c r="AA75" s="190">
        <v>0</v>
      </c>
      <c r="AB75" s="190">
        <v>0</v>
      </c>
      <c r="AC75" s="165"/>
      <c r="AD75" s="165"/>
      <c r="AE75" s="165"/>
      <c r="AF75" s="165"/>
      <c r="AG75" s="165"/>
      <c r="AH75" s="165"/>
      <c r="AI75" s="201"/>
      <c r="AJ75" s="154"/>
    </row>
    <row r="76" spans="1:36">
      <c r="A76" s="202" t="s">
        <v>33</v>
      </c>
      <c r="B76" s="162"/>
      <c r="C76" s="200"/>
      <c r="D76" s="200"/>
      <c r="E76" s="165"/>
      <c r="F76" s="165"/>
      <c r="G76" s="165"/>
      <c r="H76" s="165"/>
      <c r="I76" s="165"/>
      <c r="J76" s="200"/>
      <c r="K76" s="200"/>
      <c r="L76" s="165"/>
      <c r="M76" s="165"/>
      <c r="N76" s="165"/>
      <c r="O76" s="200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200"/>
      <c r="AB76" s="200"/>
      <c r="AC76" s="165"/>
      <c r="AD76" s="165"/>
      <c r="AE76" s="165"/>
      <c r="AF76" s="165"/>
      <c r="AG76" s="165"/>
      <c r="AH76" s="165"/>
      <c r="AI76" s="201">
        <f t="shared" ref="AI76:AI98" si="3">SUM(B76:AG76)</f>
        <v>0</v>
      </c>
      <c r="AJ76" s="154"/>
    </row>
    <row r="77" spans="1:36">
      <c r="A77" s="203" t="s">
        <v>34</v>
      </c>
      <c r="B77" s="204"/>
      <c r="C77" s="205"/>
      <c r="D77" s="200"/>
      <c r="E77" s="200">
        <v>714736405</v>
      </c>
      <c r="F77" s="200"/>
      <c r="G77" s="204"/>
      <c r="H77" s="204"/>
      <c r="I77" s="200">
        <v>638678126</v>
      </c>
      <c r="J77" s="200"/>
      <c r="K77" s="200">
        <v>882218380</v>
      </c>
      <c r="L77" s="200">
        <v>1257605765</v>
      </c>
      <c r="M77" s="200"/>
      <c r="N77" s="200"/>
      <c r="O77" s="205">
        <v>442625969</v>
      </c>
      <c r="P77" s="200"/>
      <c r="Q77" s="200"/>
      <c r="R77" s="200">
        <v>947732368</v>
      </c>
      <c r="S77" s="200"/>
      <c r="T77" s="200"/>
      <c r="U77" s="207"/>
      <c r="V77" s="200">
        <v>4061197808</v>
      </c>
      <c r="W77" s="204"/>
      <c r="X77" s="200"/>
      <c r="Y77" s="200">
        <v>2681657117</v>
      </c>
      <c r="Z77" s="200">
        <v>2483712123</v>
      </c>
      <c r="AA77" s="200"/>
      <c r="AB77" s="200"/>
      <c r="AC77" s="204"/>
      <c r="AD77" s="200">
        <v>1040042206</v>
      </c>
      <c r="AE77" s="200"/>
      <c r="AF77" s="200">
        <v>1286750943</v>
      </c>
      <c r="AG77" s="204"/>
      <c r="AH77" s="204"/>
      <c r="AI77" s="201">
        <f t="shared" si="3"/>
        <v>16436957210</v>
      </c>
      <c r="AJ77" s="173"/>
    </row>
    <row r="78" spans="1:36">
      <c r="A78" s="203" t="s">
        <v>198</v>
      </c>
      <c r="B78" s="204"/>
      <c r="C78" s="205"/>
      <c r="D78" s="200"/>
      <c r="E78" s="205">
        <v>3931050</v>
      </c>
      <c r="F78" s="200"/>
      <c r="G78" s="204"/>
      <c r="H78" s="204"/>
      <c r="I78" s="200">
        <v>3805457</v>
      </c>
      <c r="J78" s="200"/>
      <c r="K78" s="200">
        <v>5054376</v>
      </c>
      <c r="L78" s="200">
        <v>6916832</v>
      </c>
      <c r="M78" s="200"/>
      <c r="N78" s="200"/>
      <c r="O78" s="205">
        <v>2535878</v>
      </c>
      <c r="P78" s="200"/>
      <c r="Q78" s="200"/>
      <c r="R78" s="200">
        <v>5429717</v>
      </c>
      <c r="S78" s="200"/>
      <c r="T78" s="200"/>
      <c r="U78" s="207"/>
      <c r="V78" s="200">
        <v>25128661</v>
      </c>
      <c r="W78" s="204"/>
      <c r="X78" s="200"/>
      <c r="Y78" s="200">
        <v>17207300</v>
      </c>
      <c r="Z78" s="200"/>
      <c r="AA78" s="200"/>
      <c r="AB78" s="200"/>
      <c r="AC78" s="200"/>
      <c r="AD78" s="200">
        <v>6196918</v>
      </c>
      <c r="AE78" s="204"/>
      <c r="AF78" s="200">
        <v>7094270</v>
      </c>
      <c r="AG78" s="204"/>
      <c r="AH78" s="204"/>
      <c r="AI78" s="201">
        <f t="shared" si="3"/>
        <v>83300459</v>
      </c>
      <c r="AJ78" s="173"/>
    </row>
    <row r="79" spans="1:36">
      <c r="A79" s="203" t="s">
        <v>227</v>
      </c>
      <c r="B79" s="204"/>
      <c r="C79" s="205"/>
      <c r="D79" s="200"/>
      <c r="E79" s="205">
        <v>3222789036</v>
      </c>
      <c r="F79" s="200"/>
      <c r="G79" s="200"/>
      <c r="H79" s="200"/>
      <c r="I79" s="200">
        <v>4437985041</v>
      </c>
      <c r="J79" s="200"/>
      <c r="K79" s="200">
        <v>4925482624</v>
      </c>
      <c r="L79" s="200">
        <v>510859887</v>
      </c>
      <c r="M79" s="200"/>
      <c r="N79" s="200"/>
      <c r="O79" s="205">
        <v>2244888851</v>
      </c>
      <c r="P79" s="200"/>
      <c r="Q79" s="200"/>
      <c r="R79" s="200">
        <v>5774034579</v>
      </c>
      <c r="S79" s="200"/>
      <c r="T79" s="200"/>
      <c r="U79" s="207"/>
      <c r="V79" s="200">
        <v>1545653836</v>
      </c>
      <c r="W79" s="200"/>
      <c r="X79" s="200"/>
      <c r="Y79" s="200">
        <v>979635822</v>
      </c>
      <c r="Z79" s="200">
        <v>1372478101</v>
      </c>
      <c r="AA79" s="200"/>
      <c r="AB79" s="200"/>
      <c r="AC79" s="200"/>
      <c r="AD79" s="200">
        <v>1417946681</v>
      </c>
      <c r="AE79" s="207"/>
      <c r="AF79" s="200">
        <v>3649592005</v>
      </c>
      <c r="AG79" s="204"/>
      <c r="AH79" s="204"/>
      <c r="AI79" s="201">
        <f t="shared" si="3"/>
        <v>30081346463</v>
      </c>
      <c r="AJ79" s="173"/>
    </row>
    <row r="80" spans="1:36">
      <c r="A80" s="203" t="s">
        <v>227</v>
      </c>
      <c r="B80" s="204"/>
      <c r="C80" s="205"/>
      <c r="D80" s="200"/>
      <c r="E80" s="205">
        <v>2144474553</v>
      </c>
      <c r="F80" s="200"/>
      <c r="G80" s="200"/>
      <c r="H80" s="200"/>
      <c r="I80" s="200">
        <v>28008089</v>
      </c>
      <c r="J80" s="200"/>
      <c r="K80" s="200"/>
      <c r="L80" s="200"/>
      <c r="M80" s="200"/>
      <c r="N80" s="200"/>
      <c r="O80" s="205"/>
      <c r="P80" s="200"/>
      <c r="Q80" s="200"/>
      <c r="R80" s="200"/>
      <c r="S80" s="200"/>
      <c r="T80" s="200"/>
      <c r="U80" s="207"/>
      <c r="V80" s="204"/>
      <c r="W80" s="200"/>
      <c r="X80" s="200"/>
      <c r="Y80" s="200"/>
      <c r="Z80" s="200">
        <v>4834963210</v>
      </c>
      <c r="AA80" s="200"/>
      <c r="AB80" s="200"/>
      <c r="AC80" s="200"/>
      <c r="AD80" s="204"/>
      <c r="AE80" s="204"/>
      <c r="AF80" s="200">
        <v>2626339365</v>
      </c>
      <c r="AG80" s="200"/>
      <c r="AH80" s="204"/>
      <c r="AI80" s="201">
        <f t="shared" si="3"/>
        <v>9633785217</v>
      </c>
      <c r="AJ80" s="173"/>
    </row>
    <row r="81" spans="1:38">
      <c r="A81" s="203" t="s">
        <v>199</v>
      </c>
      <c r="B81" s="204"/>
      <c r="C81" s="208"/>
      <c r="D81" s="164"/>
      <c r="E81" s="205">
        <v>32761836</v>
      </c>
      <c r="F81" s="200"/>
      <c r="G81" s="200"/>
      <c r="H81" s="164"/>
      <c r="I81" s="200"/>
      <c r="J81" s="164"/>
      <c r="K81" s="164">
        <v>29932407</v>
      </c>
      <c r="L81" s="200">
        <v>2792701</v>
      </c>
      <c r="M81" s="200"/>
      <c r="N81" s="200"/>
      <c r="O81" s="205">
        <v>13465157</v>
      </c>
      <c r="P81" s="200"/>
      <c r="Q81" s="176"/>
      <c r="R81" s="200">
        <v>35187199</v>
      </c>
      <c r="S81" s="200"/>
      <c r="T81" s="205"/>
      <c r="U81" s="207"/>
      <c r="V81" s="200">
        <v>9930172</v>
      </c>
      <c r="W81" s="200"/>
      <c r="X81" s="200"/>
      <c r="Y81" s="200">
        <v>6367019</v>
      </c>
      <c r="Z81" s="200"/>
      <c r="AA81" s="200"/>
      <c r="AB81" s="164"/>
      <c r="AC81" s="200"/>
      <c r="AD81" s="180">
        <v>9011839</v>
      </c>
      <c r="AE81" s="207"/>
      <c r="AF81" s="205">
        <v>36187188</v>
      </c>
      <c r="AG81" s="204"/>
      <c r="AH81" s="204"/>
      <c r="AI81" s="201">
        <f t="shared" si="3"/>
        <v>175635518</v>
      </c>
      <c r="AJ81" s="173"/>
      <c r="AL81" s="150" t="s">
        <v>253</v>
      </c>
    </row>
    <row r="82" spans="1:38">
      <c r="A82" s="203" t="s">
        <v>228</v>
      </c>
      <c r="B82" s="204"/>
      <c r="C82" s="205"/>
      <c r="D82" s="205"/>
      <c r="E82" s="205">
        <v>1966716170</v>
      </c>
      <c r="F82" s="200"/>
      <c r="G82" s="200"/>
      <c r="H82" s="200"/>
      <c r="I82" s="200"/>
      <c r="J82" s="200"/>
      <c r="K82" s="200"/>
      <c r="L82" s="210"/>
      <c r="M82" s="200"/>
      <c r="N82" s="200"/>
      <c r="O82" s="205"/>
      <c r="P82" s="205"/>
      <c r="Q82" s="200"/>
      <c r="R82" s="200"/>
      <c r="S82" s="200"/>
      <c r="T82" s="205"/>
      <c r="U82" s="209"/>
      <c r="V82" s="204"/>
      <c r="W82" s="200"/>
      <c r="X82" s="200"/>
      <c r="Y82" s="176"/>
      <c r="Z82" s="200"/>
      <c r="AA82" s="200"/>
      <c r="AB82" s="200"/>
      <c r="AC82" s="200"/>
      <c r="AD82" s="204"/>
      <c r="AE82" s="200"/>
      <c r="AF82" s="205"/>
      <c r="AG82" s="204"/>
      <c r="AH82" s="204"/>
      <c r="AI82" s="201">
        <f t="shared" si="3"/>
        <v>1966716170</v>
      </c>
      <c r="AJ82" s="173"/>
    </row>
    <row r="83" spans="1:38">
      <c r="A83" s="203" t="s">
        <v>200</v>
      </c>
      <c r="B83" s="204"/>
      <c r="C83" s="205"/>
      <c r="D83" s="205"/>
      <c r="E83" s="205">
        <v>12073452</v>
      </c>
      <c r="F83" s="200"/>
      <c r="G83" s="200"/>
      <c r="H83" s="200"/>
      <c r="I83" s="200"/>
      <c r="J83" s="200"/>
      <c r="K83" s="200"/>
      <c r="L83" s="210"/>
      <c r="M83" s="200"/>
      <c r="N83" s="200"/>
      <c r="O83" s="205"/>
      <c r="P83" s="205"/>
      <c r="Q83" s="200"/>
      <c r="R83" s="200"/>
      <c r="S83" s="200"/>
      <c r="T83" s="205"/>
      <c r="U83" s="205"/>
      <c r="V83" s="204"/>
      <c r="W83" s="200"/>
      <c r="X83" s="200"/>
      <c r="Y83" s="176"/>
      <c r="Z83" s="200"/>
      <c r="AA83" s="200"/>
      <c r="AB83" s="200"/>
      <c r="AC83" s="200"/>
      <c r="AD83" s="204"/>
      <c r="AE83" s="200"/>
      <c r="AF83" s="205"/>
      <c r="AG83" s="204"/>
      <c r="AH83" s="204"/>
      <c r="AI83" s="201">
        <f t="shared" si="3"/>
        <v>12073452</v>
      </c>
      <c r="AJ83" s="173"/>
    </row>
    <row r="84" spans="1:38">
      <c r="A84" s="203" t="s">
        <v>36</v>
      </c>
      <c r="B84" s="204"/>
      <c r="C84" s="205"/>
      <c r="D84" s="205"/>
      <c r="E84" s="205"/>
      <c r="F84" s="200"/>
      <c r="G84" s="200"/>
      <c r="H84" s="204"/>
      <c r="I84" s="200"/>
      <c r="J84" s="200"/>
      <c r="K84" s="200"/>
      <c r="L84" s="210"/>
      <c r="M84" s="200"/>
      <c r="N84" s="200"/>
      <c r="O84" s="205"/>
      <c r="P84" s="205"/>
      <c r="Q84" s="200"/>
      <c r="R84" s="200"/>
      <c r="S84" s="200"/>
      <c r="T84" s="205"/>
      <c r="U84" s="205"/>
      <c r="V84" s="204"/>
      <c r="W84" s="200"/>
      <c r="X84" s="200"/>
      <c r="Y84" s="176"/>
      <c r="Z84" s="200"/>
      <c r="AA84" s="200"/>
      <c r="AB84" s="200"/>
      <c r="AC84" s="200"/>
      <c r="AD84" s="204"/>
      <c r="AE84" s="200"/>
      <c r="AF84" s="205"/>
      <c r="AG84" s="204"/>
      <c r="AH84" s="204"/>
      <c r="AI84" s="201">
        <f t="shared" si="3"/>
        <v>0</v>
      </c>
      <c r="AJ84" s="173"/>
    </row>
    <row r="85" spans="1:38">
      <c r="A85" s="203" t="s">
        <v>36</v>
      </c>
      <c r="B85" s="204"/>
      <c r="C85" s="205"/>
      <c r="D85" s="205"/>
      <c r="E85" s="205"/>
      <c r="F85" s="200"/>
      <c r="G85" s="200"/>
      <c r="H85" s="204"/>
      <c r="I85" s="200"/>
      <c r="J85" s="200"/>
      <c r="K85" s="200"/>
      <c r="L85" s="210"/>
      <c r="M85" s="200"/>
      <c r="N85" s="200"/>
      <c r="O85" s="205"/>
      <c r="P85" s="205"/>
      <c r="Q85" s="200"/>
      <c r="R85" s="200"/>
      <c r="S85" s="200"/>
      <c r="T85" s="205"/>
      <c r="U85" s="205"/>
      <c r="V85" s="204"/>
      <c r="W85" s="200"/>
      <c r="X85" s="200"/>
      <c r="Y85" s="176"/>
      <c r="Z85" s="200"/>
      <c r="AA85" s="200"/>
      <c r="AB85" s="200"/>
      <c r="AC85" s="200"/>
      <c r="AD85" s="204"/>
      <c r="AE85" s="200"/>
      <c r="AF85" s="205"/>
      <c r="AG85" s="204"/>
      <c r="AH85" s="204"/>
      <c r="AI85" s="201"/>
      <c r="AJ85" s="173"/>
    </row>
    <row r="86" spans="1:38">
      <c r="A86" s="203" t="s">
        <v>36</v>
      </c>
      <c r="B86" s="204"/>
      <c r="C86" s="205"/>
      <c r="D86" s="205"/>
      <c r="E86" s="205"/>
      <c r="F86" s="200"/>
      <c r="G86" s="200"/>
      <c r="H86" s="204"/>
      <c r="I86" s="200"/>
      <c r="J86" s="200"/>
      <c r="K86" s="200"/>
      <c r="L86" s="210"/>
      <c r="M86" s="200"/>
      <c r="N86" s="200"/>
      <c r="O86" s="205"/>
      <c r="P86" s="205"/>
      <c r="Q86" s="200"/>
      <c r="R86" s="200"/>
      <c r="S86" s="200"/>
      <c r="T86" s="205"/>
      <c r="U86" s="205"/>
      <c r="V86" s="204"/>
      <c r="W86" s="200"/>
      <c r="X86" s="200"/>
      <c r="Y86" s="176"/>
      <c r="Z86" s="200"/>
      <c r="AA86" s="200"/>
      <c r="AB86" s="200"/>
      <c r="AC86" s="200"/>
      <c r="AD86" s="204"/>
      <c r="AE86" s="200"/>
      <c r="AF86" s="205"/>
      <c r="AG86" s="204"/>
      <c r="AH86" s="204"/>
      <c r="AI86" s="201"/>
      <c r="AJ86" s="173"/>
    </row>
    <row r="87" spans="1:38">
      <c r="A87" s="203" t="s">
        <v>242</v>
      </c>
      <c r="B87" s="204"/>
      <c r="C87" s="205"/>
      <c r="D87" s="205"/>
      <c r="E87" s="205"/>
      <c r="F87" s="200"/>
      <c r="G87" s="200"/>
      <c r="H87" s="204"/>
      <c r="I87" s="200"/>
      <c r="J87" s="200"/>
      <c r="K87" s="200"/>
      <c r="L87" s="210"/>
      <c r="M87" s="200"/>
      <c r="N87" s="200"/>
      <c r="O87" s="205"/>
      <c r="P87" s="205"/>
      <c r="Q87" s="200"/>
      <c r="R87" s="200"/>
      <c r="S87" s="200"/>
      <c r="T87" s="205"/>
      <c r="U87" s="205"/>
      <c r="V87" s="204"/>
      <c r="W87" s="200"/>
      <c r="X87" s="200"/>
      <c r="Y87" s="176"/>
      <c r="Z87" s="200"/>
      <c r="AA87" s="200"/>
      <c r="AB87" s="200"/>
      <c r="AC87" s="204"/>
      <c r="AD87" s="204"/>
      <c r="AE87" s="200"/>
      <c r="AF87" s="205"/>
      <c r="AG87" s="204"/>
      <c r="AH87" s="204"/>
      <c r="AI87" s="201">
        <f t="shared" si="3"/>
        <v>0</v>
      </c>
      <c r="AJ87" s="173"/>
    </row>
    <row r="88" spans="1:38">
      <c r="A88" s="162" t="s">
        <v>53</v>
      </c>
      <c r="B88" s="204"/>
      <c r="C88" s="205"/>
      <c r="D88" s="180"/>
      <c r="E88" s="205"/>
      <c r="F88" s="200"/>
      <c r="G88" s="200"/>
      <c r="H88" s="200"/>
      <c r="I88" s="200"/>
      <c r="J88" s="200"/>
      <c r="K88" s="200"/>
      <c r="L88" s="210"/>
      <c r="M88" s="200"/>
      <c r="N88" s="180"/>
      <c r="O88" s="180"/>
      <c r="P88" s="180"/>
      <c r="Q88" s="200"/>
      <c r="R88" s="200"/>
      <c r="T88" s="205"/>
      <c r="U88" s="176"/>
      <c r="V88" s="169"/>
      <c r="W88" s="200"/>
      <c r="X88" s="176"/>
      <c r="Y88" s="200"/>
      <c r="Z88" s="200"/>
      <c r="AA88" s="200"/>
      <c r="AB88" s="164"/>
      <c r="AC88" s="200"/>
      <c r="AD88" s="200"/>
      <c r="AE88" s="200"/>
      <c r="AF88" s="205"/>
      <c r="AG88" s="200"/>
      <c r="AH88" s="200"/>
      <c r="AI88" s="201">
        <f t="shared" si="3"/>
        <v>0</v>
      </c>
      <c r="AJ88" s="173"/>
    </row>
    <row r="89" spans="1:38">
      <c r="A89" s="162" t="s">
        <v>54</v>
      </c>
      <c r="B89" s="204"/>
      <c r="C89" s="205"/>
      <c r="D89" s="205"/>
      <c r="E89" s="180"/>
      <c r="F89" s="200"/>
      <c r="G89" s="200"/>
      <c r="H89" s="200"/>
      <c r="I89" s="200"/>
      <c r="J89" s="200"/>
      <c r="K89" s="200"/>
      <c r="L89" s="210"/>
      <c r="M89" s="200"/>
      <c r="N89" s="200"/>
      <c r="O89" s="205"/>
      <c r="P89" s="180"/>
      <c r="Q89" s="200"/>
      <c r="R89" s="200"/>
      <c r="S89" s="200"/>
      <c r="T89" s="205"/>
      <c r="U89" s="205"/>
      <c r="V89" s="169"/>
      <c r="W89" s="180"/>
      <c r="X89" s="169"/>
      <c r="Y89" s="200"/>
      <c r="Z89" s="180"/>
      <c r="AA89" s="200"/>
      <c r="AB89" s="200"/>
      <c r="AC89" s="204"/>
      <c r="AD89" s="200"/>
      <c r="AE89" s="200"/>
      <c r="AF89" s="205"/>
      <c r="AG89" s="204"/>
      <c r="AH89" s="204"/>
      <c r="AI89" s="201">
        <f t="shared" si="3"/>
        <v>0</v>
      </c>
      <c r="AJ89" s="173">
        <v>1</v>
      </c>
    </row>
    <row r="90" spans="1:38">
      <c r="A90" s="162" t="s">
        <v>203</v>
      </c>
      <c r="B90" s="204"/>
      <c r="C90" s="205"/>
      <c r="D90" s="205"/>
      <c r="E90" s="180"/>
      <c r="F90" s="200"/>
      <c r="G90" s="200"/>
      <c r="H90" s="204"/>
      <c r="I90" s="205"/>
      <c r="J90" s="200"/>
      <c r="K90" s="200"/>
      <c r="L90" s="210"/>
      <c r="M90" s="200"/>
      <c r="N90" s="200"/>
      <c r="O90" s="205"/>
      <c r="P90" s="180"/>
      <c r="Q90" s="200"/>
      <c r="R90" s="200"/>
      <c r="S90" s="200"/>
      <c r="T90" s="205"/>
      <c r="U90" s="205"/>
      <c r="V90" s="176"/>
      <c r="W90" s="180"/>
      <c r="X90" s="169"/>
      <c r="Y90" s="200"/>
      <c r="Z90" s="180"/>
      <c r="AA90" s="200"/>
      <c r="AB90" s="200"/>
      <c r="AC90" s="204"/>
      <c r="AD90" s="200"/>
      <c r="AE90" s="205"/>
      <c r="AF90" s="205"/>
      <c r="AG90" s="204"/>
      <c r="AH90" s="204"/>
      <c r="AI90" s="201">
        <f t="shared" si="3"/>
        <v>0</v>
      </c>
      <c r="AJ90" s="173"/>
    </row>
    <row r="91" spans="1:38">
      <c r="A91" s="162" t="s">
        <v>37</v>
      </c>
      <c r="B91" s="204"/>
      <c r="C91" s="180">
        <v>939443423</v>
      </c>
      <c r="D91" s="200"/>
      <c r="E91" s="180">
        <v>1504954251</v>
      </c>
      <c r="F91" s="164"/>
      <c r="G91" s="180"/>
      <c r="H91" s="200"/>
      <c r="I91" s="180">
        <v>465040456</v>
      </c>
      <c r="J91" s="200">
        <v>983869178</v>
      </c>
      <c r="K91" s="200"/>
      <c r="L91" s="210">
        <v>4489626706</v>
      </c>
      <c r="M91" s="200"/>
      <c r="N91" s="200"/>
      <c r="O91" s="205"/>
      <c r="P91" s="176"/>
      <c r="Q91" s="200"/>
      <c r="R91" s="200"/>
      <c r="S91" s="200"/>
      <c r="T91" s="205"/>
      <c r="U91" s="176"/>
      <c r="V91" s="176"/>
      <c r="W91" s="200"/>
      <c r="X91" s="176"/>
      <c r="Y91" s="180"/>
      <c r="Z91" s="200"/>
      <c r="AA91" s="200"/>
      <c r="AB91" s="172"/>
      <c r="AC91" s="200"/>
      <c r="AD91" s="200"/>
      <c r="AE91" s="176"/>
      <c r="AF91" s="178"/>
      <c r="AG91" s="200"/>
      <c r="AH91" s="200"/>
      <c r="AI91" s="201">
        <f t="shared" si="3"/>
        <v>8382934014</v>
      </c>
      <c r="AJ91" s="173"/>
    </row>
    <row r="92" spans="1:38">
      <c r="A92" s="162" t="s">
        <v>38</v>
      </c>
      <c r="B92" s="204"/>
      <c r="C92" s="176"/>
      <c r="D92" s="176"/>
      <c r="E92" s="180"/>
      <c r="F92" s="200"/>
      <c r="G92" s="200"/>
      <c r="H92" s="200"/>
      <c r="I92" s="205"/>
      <c r="J92" s="200">
        <v>991841229</v>
      </c>
      <c r="K92" s="180"/>
      <c r="L92" s="210"/>
      <c r="M92" s="200"/>
      <c r="N92" s="180"/>
      <c r="O92" s="180"/>
      <c r="P92" s="205"/>
      <c r="Q92" s="174"/>
      <c r="R92" s="176"/>
      <c r="S92" s="200"/>
      <c r="T92" s="176"/>
      <c r="U92" s="205"/>
      <c r="V92" s="205"/>
      <c r="W92" s="180"/>
      <c r="X92" s="169"/>
      <c r="Y92" s="180"/>
      <c r="Z92" s="180"/>
      <c r="AA92" s="200"/>
      <c r="AB92" s="172"/>
      <c r="AC92" s="200"/>
      <c r="AD92" s="200"/>
      <c r="AE92" s="205"/>
      <c r="AF92" s="176"/>
      <c r="AG92" s="169"/>
      <c r="AH92" s="169"/>
      <c r="AI92" s="201">
        <f t="shared" si="3"/>
        <v>991841229</v>
      </c>
      <c r="AJ92" s="173"/>
    </row>
    <row r="93" spans="1:38">
      <c r="A93" s="162" t="s">
        <v>414</v>
      </c>
      <c r="B93" s="204"/>
      <c r="C93" s="176"/>
      <c r="D93" s="176"/>
      <c r="E93" s="180"/>
      <c r="F93" s="200"/>
      <c r="G93" s="200"/>
      <c r="H93" s="200"/>
      <c r="I93" s="205"/>
      <c r="J93" s="200"/>
      <c r="K93" s="180"/>
      <c r="L93" s="210"/>
      <c r="M93" s="200"/>
      <c r="N93" s="180"/>
      <c r="O93" s="180"/>
      <c r="P93" s="205"/>
      <c r="Q93" s="174"/>
      <c r="R93" s="176"/>
      <c r="S93" s="200"/>
      <c r="T93" s="176"/>
      <c r="U93" s="205"/>
      <c r="V93" s="205"/>
      <c r="W93" s="180"/>
      <c r="X93" s="169"/>
      <c r="Y93" s="180"/>
      <c r="Z93" s="180"/>
      <c r="AA93" s="200"/>
      <c r="AB93" s="172"/>
      <c r="AC93" s="200"/>
      <c r="AD93" s="200"/>
      <c r="AE93" s="205"/>
      <c r="AF93" s="176"/>
      <c r="AG93" s="169"/>
      <c r="AH93" s="169"/>
      <c r="AI93" s="201"/>
      <c r="AJ93" s="173"/>
    </row>
    <row r="94" spans="1:38">
      <c r="A94" s="162" t="s">
        <v>201</v>
      </c>
      <c r="B94" s="204"/>
      <c r="C94" s="176">
        <v>114078936</v>
      </c>
      <c r="D94" s="169"/>
      <c r="E94" s="180"/>
      <c r="F94" s="200"/>
      <c r="G94" s="200"/>
      <c r="H94" s="204"/>
      <c r="I94" s="205"/>
      <c r="J94" s="200"/>
      <c r="K94" s="180"/>
      <c r="L94" s="200"/>
      <c r="M94" s="200"/>
      <c r="N94" s="174"/>
      <c r="O94" s="180"/>
      <c r="P94" s="205"/>
      <c r="Q94" s="174"/>
      <c r="R94" s="176"/>
      <c r="S94" s="200"/>
      <c r="T94" s="176"/>
      <c r="U94" s="205"/>
      <c r="V94" s="205"/>
      <c r="W94" s="180"/>
      <c r="X94" s="176"/>
      <c r="Y94" s="180"/>
      <c r="Z94" s="180"/>
      <c r="AA94" s="200"/>
      <c r="AB94" s="172"/>
      <c r="AC94" s="200"/>
      <c r="AD94" s="200"/>
      <c r="AE94" s="205"/>
      <c r="AF94" s="176"/>
      <c r="AG94" s="169"/>
      <c r="AH94" s="169"/>
      <c r="AI94" s="201">
        <f t="shared" si="3"/>
        <v>114078936</v>
      </c>
      <c r="AJ94" s="173"/>
    </row>
    <row r="95" spans="1:38">
      <c r="A95" s="162" t="s">
        <v>175</v>
      </c>
      <c r="B95" s="204"/>
      <c r="C95" s="193"/>
      <c r="D95" s="200"/>
      <c r="E95" s="180"/>
      <c r="F95" s="200"/>
      <c r="G95" s="200"/>
      <c r="H95" s="200"/>
      <c r="I95" s="205"/>
      <c r="J95" s="180">
        <v>10208333</v>
      </c>
      <c r="K95" s="200"/>
      <c r="L95" s="169"/>
      <c r="M95" s="200"/>
      <c r="N95" s="180"/>
      <c r="O95" s="180"/>
      <c r="Q95" s="205"/>
      <c r="R95" s="176"/>
      <c r="S95" s="200"/>
      <c r="T95" s="200"/>
      <c r="U95" s="200"/>
      <c r="V95" s="200"/>
      <c r="W95" s="180"/>
      <c r="X95" s="176"/>
      <c r="Y95" s="180"/>
      <c r="Z95" s="180"/>
      <c r="AA95" s="176"/>
      <c r="AB95" s="172"/>
      <c r="AC95" s="200"/>
      <c r="AD95" s="200"/>
      <c r="AE95" s="176"/>
      <c r="AF95" s="176"/>
      <c r="AG95" s="176">
        <f>377344548-90135848</f>
        <v>287208700</v>
      </c>
      <c r="AH95" s="169"/>
      <c r="AI95" s="201">
        <f t="shared" si="3"/>
        <v>297417033</v>
      </c>
      <c r="AJ95" s="173"/>
    </row>
    <row r="96" spans="1:38">
      <c r="A96" s="162" t="s">
        <v>176</v>
      </c>
      <c r="B96" s="204"/>
      <c r="C96" s="205"/>
      <c r="D96" s="200"/>
      <c r="E96" s="180"/>
      <c r="F96" s="200"/>
      <c r="G96" s="200"/>
      <c r="H96" s="200"/>
      <c r="I96" s="205"/>
      <c r="J96" s="180"/>
      <c r="K96" s="180"/>
      <c r="L96" s="200"/>
      <c r="M96" s="200"/>
      <c r="N96" s="200"/>
      <c r="O96" s="180"/>
      <c r="P96" s="205"/>
      <c r="Q96" s="200"/>
      <c r="R96" s="207"/>
      <c r="S96" s="200"/>
      <c r="T96" s="180"/>
      <c r="U96" s="176"/>
      <c r="V96" s="176"/>
      <c r="W96" s="200"/>
      <c r="X96" s="176"/>
      <c r="Y96" s="180"/>
      <c r="Z96" s="205"/>
      <c r="AA96" s="200"/>
      <c r="AB96" s="172"/>
      <c r="AC96" s="200"/>
      <c r="AD96" s="200"/>
      <c r="AE96" s="205"/>
      <c r="AF96" s="176"/>
      <c r="AG96" s="200"/>
      <c r="AH96" s="200"/>
      <c r="AI96" s="201">
        <f t="shared" si="3"/>
        <v>0</v>
      </c>
      <c r="AJ96" s="173"/>
    </row>
    <row r="97" spans="1:36">
      <c r="A97" s="162" t="s">
        <v>409</v>
      </c>
      <c r="B97" s="204"/>
      <c r="C97" s="205"/>
      <c r="D97" s="200"/>
      <c r="E97" s="180"/>
      <c r="F97" s="200"/>
      <c r="G97" s="200"/>
      <c r="H97" s="200"/>
      <c r="I97" s="205"/>
      <c r="J97" s="180"/>
      <c r="K97" s="180"/>
      <c r="L97" s="200"/>
      <c r="M97" s="200"/>
      <c r="N97" s="200"/>
      <c r="O97" s="180"/>
      <c r="P97" s="205"/>
      <c r="Q97" s="200"/>
      <c r="R97" s="207"/>
      <c r="S97" s="200"/>
      <c r="T97" s="180"/>
      <c r="U97" s="176"/>
      <c r="V97" s="176"/>
      <c r="W97" s="200"/>
      <c r="X97" s="176"/>
      <c r="Y97" s="176"/>
      <c r="Z97" s="176"/>
      <c r="AA97" s="176"/>
      <c r="AB97" s="172"/>
      <c r="AC97" s="200"/>
      <c r="AD97" s="200"/>
      <c r="AE97" s="209"/>
      <c r="AF97" s="176"/>
      <c r="AG97" s="200"/>
      <c r="AH97" s="200"/>
      <c r="AI97" s="201"/>
      <c r="AJ97" s="173"/>
    </row>
    <row r="98" spans="1:36">
      <c r="A98" s="162" t="s">
        <v>202</v>
      </c>
      <c r="B98" s="204"/>
      <c r="C98" s="205">
        <v>58255203</v>
      </c>
      <c r="D98" s="200"/>
      <c r="E98" s="180"/>
      <c r="F98" s="200"/>
      <c r="G98" s="200"/>
      <c r="H98" s="200"/>
      <c r="I98" s="205"/>
      <c r="J98" s="180"/>
      <c r="K98" s="180"/>
      <c r="L98" s="200"/>
      <c r="M98" s="200"/>
      <c r="N98" s="200"/>
      <c r="O98" s="180"/>
      <c r="P98" s="205"/>
      <c r="Q98" s="200"/>
      <c r="R98" s="207"/>
      <c r="S98" s="200"/>
      <c r="T98" s="180"/>
      <c r="U98" s="176"/>
      <c r="V98" s="200"/>
      <c r="W98" s="200"/>
      <c r="X98" s="176"/>
      <c r="Y98" s="180"/>
      <c r="Z98" s="200"/>
      <c r="AA98" s="200"/>
      <c r="AB98" s="172"/>
      <c r="AC98" s="200"/>
      <c r="AD98" s="200"/>
      <c r="AE98" s="207"/>
      <c r="AF98" s="176"/>
      <c r="AG98" s="200"/>
      <c r="AH98" s="200"/>
      <c r="AI98" s="201">
        <f t="shared" si="3"/>
        <v>58255203</v>
      </c>
      <c r="AJ98" s="173"/>
    </row>
    <row r="99" spans="1:36">
      <c r="A99" s="211" t="s">
        <v>41</v>
      </c>
      <c r="B99" s="212"/>
      <c r="C99" s="213">
        <f t="shared" ref="C99:H99" si="4">SUM(C77:C98)</f>
        <v>1111777562</v>
      </c>
      <c r="D99" s="213">
        <f t="shared" si="4"/>
        <v>0</v>
      </c>
      <c r="E99" s="213">
        <f t="shared" si="4"/>
        <v>9602436753</v>
      </c>
      <c r="F99" s="213">
        <f t="shared" si="4"/>
        <v>0</v>
      </c>
      <c r="G99" s="213">
        <f t="shared" si="4"/>
        <v>0</v>
      </c>
      <c r="H99" s="213">
        <f t="shared" si="4"/>
        <v>0</v>
      </c>
      <c r="I99" s="213">
        <f>SUM(I76:I98)</f>
        <v>5573517169</v>
      </c>
      <c r="J99" s="213">
        <f t="shared" ref="J99:AG99" si="5">SUM(J77:J98)</f>
        <v>1985918740</v>
      </c>
      <c r="K99" s="213">
        <f t="shared" si="5"/>
        <v>5842687787</v>
      </c>
      <c r="L99" s="213">
        <f>SUM(L77:L98)</f>
        <v>6267801891</v>
      </c>
      <c r="M99" s="213">
        <f t="shared" si="5"/>
        <v>0</v>
      </c>
      <c r="N99" s="213">
        <f t="shared" si="5"/>
        <v>0</v>
      </c>
      <c r="O99" s="213">
        <f>SUM(O77:O98)</f>
        <v>2703515855</v>
      </c>
      <c r="P99" s="213">
        <f t="shared" si="5"/>
        <v>0</v>
      </c>
      <c r="Q99" s="213">
        <f t="shared" si="5"/>
        <v>0</v>
      </c>
      <c r="R99" s="213">
        <f>SUM(R77:R98)</f>
        <v>6762383863</v>
      </c>
      <c r="S99" s="213">
        <f t="shared" si="5"/>
        <v>0</v>
      </c>
      <c r="T99" s="213">
        <f t="shared" si="5"/>
        <v>0</v>
      </c>
      <c r="U99" s="213">
        <f t="shared" si="5"/>
        <v>0</v>
      </c>
      <c r="V99" s="213">
        <f t="shared" si="5"/>
        <v>5641910477</v>
      </c>
      <c r="W99" s="213">
        <f t="shared" si="5"/>
        <v>0</v>
      </c>
      <c r="X99" s="213">
        <f t="shared" si="5"/>
        <v>0</v>
      </c>
      <c r="Y99" s="213">
        <f t="shared" si="5"/>
        <v>3684867258</v>
      </c>
      <c r="Z99" s="213">
        <f>SUM(Z77:Z98)</f>
        <v>8691153434</v>
      </c>
      <c r="AA99" s="213">
        <f>SUM(AA77:AA98)</f>
        <v>0</v>
      </c>
      <c r="AB99" s="213">
        <f>SUM(AB77:AB98)</f>
        <v>0</v>
      </c>
      <c r="AC99" s="213">
        <f t="shared" si="5"/>
        <v>0</v>
      </c>
      <c r="AD99" s="213">
        <f>SUM(AD77:AD98)</f>
        <v>2473197644</v>
      </c>
      <c r="AE99" s="213">
        <f t="shared" si="5"/>
        <v>0</v>
      </c>
      <c r="AF99" s="213">
        <f>SUM(AF77:AF98)</f>
        <v>7605963771</v>
      </c>
      <c r="AG99" s="213">
        <f t="shared" si="5"/>
        <v>287208700</v>
      </c>
      <c r="AH99" s="213"/>
      <c r="AI99" s="214">
        <f>SUM(AI77:AI96)</f>
        <v>68176085701</v>
      </c>
      <c r="AJ99" s="154"/>
    </row>
    <row r="100" spans="1:36">
      <c r="A100" s="393" t="s">
        <v>42</v>
      </c>
      <c r="B100" s="394"/>
      <c r="C100" s="215">
        <f t="shared" ref="C100:AG100" si="6">C74+C99</f>
        <v>1359638097</v>
      </c>
      <c r="D100" s="215">
        <f>D74+D99</f>
        <v>28794014</v>
      </c>
      <c r="E100" s="216">
        <f t="shared" si="6"/>
        <v>9741572823</v>
      </c>
      <c r="F100" s="216">
        <f t="shared" si="6"/>
        <v>0</v>
      </c>
      <c r="G100" s="216">
        <f t="shared" si="6"/>
        <v>0</v>
      </c>
      <c r="H100" s="216">
        <f t="shared" si="6"/>
        <v>1785935716</v>
      </c>
      <c r="I100" s="216">
        <f t="shared" si="6"/>
        <v>5573517169</v>
      </c>
      <c r="J100" s="215">
        <f t="shared" si="6"/>
        <v>1985918740</v>
      </c>
      <c r="K100" s="215">
        <f t="shared" si="6"/>
        <v>5874968987</v>
      </c>
      <c r="L100" s="216">
        <f t="shared" si="6"/>
        <v>8074332793</v>
      </c>
      <c r="M100" s="216">
        <f t="shared" si="6"/>
        <v>0</v>
      </c>
      <c r="N100" s="216">
        <f t="shared" si="6"/>
        <v>0</v>
      </c>
      <c r="O100" s="216">
        <f t="shared" si="6"/>
        <v>4517822475</v>
      </c>
      <c r="P100" s="216">
        <f t="shared" si="6"/>
        <v>675235331</v>
      </c>
      <c r="Q100" s="216">
        <f t="shared" si="6"/>
        <v>0</v>
      </c>
      <c r="R100" s="216">
        <f t="shared" si="6"/>
        <v>6894300463</v>
      </c>
      <c r="S100" s="216">
        <f t="shared" si="6"/>
        <v>0</v>
      </c>
      <c r="T100" s="216">
        <f t="shared" si="6"/>
        <v>0</v>
      </c>
      <c r="U100" s="216">
        <f t="shared" si="6"/>
        <v>0</v>
      </c>
      <c r="V100" s="216">
        <f t="shared" si="6"/>
        <v>9748250625</v>
      </c>
      <c r="W100" s="216">
        <f t="shared" si="6"/>
        <v>779641734</v>
      </c>
      <c r="X100" s="216">
        <f t="shared" si="6"/>
        <v>2362938780</v>
      </c>
      <c r="Y100" s="216">
        <f t="shared" si="6"/>
        <v>4370843908</v>
      </c>
      <c r="Z100" s="216">
        <f t="shared" si="6"/>
        <v>11274428094</v>
      </c>
      <c r="AA100" s="216">
        <f t="shared" si="6"/>
        <v>0</v>
      </c>
      <c r="AB100" s="216">
        <f t="shared" si="6"/>
        <v>0</v>
      </c>
      <c r="AC100" s="216">
        <f t="shared" si="6"/>
        <v>504560648</v>
      </c>
      <c r="AD100" s="216">
        <f t="shared" si="6"/>
        <v>3478852745</v>
      </c>
      <c r="AE100" s="216">
        <f t="shared" si="6"/>
        <v>160312320</v>
      </c>
      <c r="AF100" s="216">
        <f t="shared" si="6"/>
        <v>7626491982</v>
      </c>
      <c r="AG100" s="216">
        <f t="shared" si="6"/>
        <v>5246807490</v>
      </c>
      <c r="AH100" s="216"/>
      <c r="AI100" s="216">
        <f>SUM(C100:AG100)</f>
        <v>92065164934</v>
      </c>
    </row>
    <row r="102" spans="1:36">
      <c r="A102" s="150" t="s">
        <v>50</v>
      </c>
      <c r="C102" s="154">
        <v>6670242630</v>
      </c>
      <c r="D102" s="193">
        <v>9524364662</v>
      </c>
      <c r="E102" s="154">
        <v>12749440082</v>
      </c>
      <c r="F102" s="154"/>
      <c r="G102" s="154"/>
      <c r="H102" s="154">
        <v>9290843524</v>
      </c>
      <c r="I102" s="154">
        <v>12679004513</v>
      </c>
      <c r="J102" s="154">
        <v>14594108365</v>
      </c>
      <c r="K102" s="193">
        <v>15664789179</v>
      </c>
      <c r="L102" s="154">
        <v>12696700706</v>
      </c>
      <c r="M102" s="154"/>
      <c r="N102" s="154"/>
      <c r="O102" s="154">
        <v>9941729303</v>
      </c>
      <c r="P102" s="154">
        <v>7753046448</v>
      </c>
      <c r="Q102" s="154">
        <f>P105</f>
        <v>8979634872</v>
      </c>
      <c r="R102" s="154">
        <v>12756079634</v>
      </c>
      <c r="S102" s="154">
        <f>R105</f>
        <v>8338226130</v>
      </c>
      <c r="T102" s="154">
        <f>S105</f>
        <v>10338226130</v>
      </c>
      <c r="U102" s="154">
        <f>T105</f>
        <v>12338226130</v>
      </c>
      <c r="V102" s="154">
        <v>16090883591</v>
      </c>
      <c r="W102" s="154">
        <v>10527838748</v>
      </c>
      <c r="X102" s="154">
        <v>17129147412</v>
      </c>
      <c r="Y102" s="154">
        <v>18139582412</v>
      </c>
      <c r="Z102" s="154">
        <v>16936665037</v>
      </c>
      <c r="AA102" s="154"/>
      <c r="AB102" s="217"/>
      <c r="AC102" s="154">
        <v>11969310533</v>
      </c>
      <c r="AD102" s="154">
        <v>13804534628</v>
      </c>
      <c r="AE102" s="154">
        <v>14902975778</v>
      </c>
      <c r="AF102" s="154">
        <v>18767330954</v>
      </c>
      <c r="AG102" s="154">
        <v>16546914092</v>
      </c>
      <c r="AH102" s="154"/>
    </row>
    <row r="103" spans="1:36">
      <c r="A103" s="150" t="s">
        <v>139</v>
      </c>
      <c r="C103" s="200">
        <f>C102-C100</f>
        <v>5310604533</v>
      </c>
      <c r="D103" s="218">
        <f>D102-D100</f>
        <v>9495570648</v>
      </c>
      <c r="E103" s="219">
        <f>E102-E100</f>
        <v>3007867259</v>
      </c>
      <c r="F103" s="154"/>
      <c r="G103" s="219"/>
      <c r="H103" s="154">
        <f>H102-H100</f>
        <v>7504907808</v>
      </c>
      <c r="I103" s="219">
        <f>I102-I100</f>
        <v>7105487344</v>
      </c>
      <c r="J103" s="154">
        <f>J102-J100</f>
        <v>12608189625</v>
      </c>
      <c r="K103" s="220"/>
      <c r="L103" s="219"/>
      <c r="M103" s="154"/>
      <c r="N103" s="217"/>
      <c r="O103" s="217">
        <f>O102-O100</f>
        <v>5423906828</v>
      </c>
      <c r="P103" s="217">
        <f>P102-P100</f>
        <v>7077811117</v>
      </c>
      <c r="Q103" s="217">
        <f t="shared" ref="Q103:V103" si="7">Q102-Q100</f>
        <v>8979634872</v>
      </c>
      <c r="R103" s="217">
        <f t="shared" si="7"/>
        <v>5861779171</v>
      </c>
      <c r="S103" s="217">
        <f t="shared" si="7"/>
        <v>8338226130</v>
      </c>
      <c r="T103" s="217">
        <f t="shared" si="7"/>
        <v>10338226130</v>
      </c>
      <c r="U103" s="217">
        <f t="shared" si="7"/>
        <v>12338226130</v>
      </c>
      <c r="V103" s="217">
        <f t="shared" si="7"/>
        <v>6342632966</v>
      </c>
      <c r="W103" s="219">
        <f>W102-W100</f>
        <v>9748197014</v>
      </c>
      <c r="X103" s="154">
        <f>X102-X100</f>
        <v>14766208632</v>
      </c>
      <c r="Y103" s="219">
        <f>Y102-Y100</f>
        <v>13768738504</v>
      </c>
      <c r="Z103" s="154">
        <f>Z102-Z100</f>
        <v>5662236943</v>
      </c>
      <c r="AA103" s="154"/>
      <c r="AB103" s="217"/>
      <c r="AC103" s="219">
        <f>AC102-AC100</f>
        <v>11464749885</v>
      </c>
      <c r="AD103" s="219">
        <f>AD102-AD100</f>
        <v>10325681883</v>
      </c>
      <c r="AE103" s="219">
        <f>AE102-AE100</f>
        <v>14742663458</v>
      </c>
      <c r="AF103" s="219">
        <f>AF102-AF100</f>
        <v>11140838972</v>
      </c>
      <c r="AG103" s="219">
        <f>AG102-AG100</f>
        <v>11300106602</v>
      </c>
      <c r="AH103" s="219"/>
      <c r="AI103" s="219">
        <f>AI102-AI100</f>
        <v>-92065164934</v>
      </c>
    </row>
    <row r="104" spans="1:36">
      <c r="A104" s="150" t="s">
        <v>181</v>
      </c>
      <c r="C104" s="154">
        <v>2317307789</v>
      </c>
      <c r="D104" s="218">
        <v>2462364011</v>
      </c>
      <c r="E104" s="154">
        <v>2498094364</v>
      </c>
      <c r="F104" s="154"/>
      <c r="G104" s="154"/>
      <c r="H104" s="154">
        <v>2432359475</v>
      </c>
      <c r="I104" s="154">
        <v>2128979107</v>
      </c>
      <c r="J104" s="154">
        <v>2043457924</v>
      </c>
      <c r="K104" s="193">
        <v>2435362264</v>
      </c>
      <c r="L104" s="154">
        <v>2576432560</v>
      </c>
      <c r="M104" s="154"/>
      <c r="N104" s="154"/>
      <c r="O104" s="154">
        <v>1935924273</v>
      </c>
      <c r="P104" s="154">
        <v>1901823755</v>
      </c>
      <c r="Q104" s="154">
        <v>2232602327</v>
      </c>
      <c r="R104" s="219">
        <v>2476446959</v>
      </c>
      <c r="S104" s="154">
        <v>2000000000</v>
      </c>
      <c r="T104" s="154">
        <v>2000000000</v>
      </c>
      <c r="U104" s="154"/>
      <c r="V104" s="154">
        <v>2000000000</v>
      </c>
      <c r="W104" s="154">
        <v>2386882345</v>
      </c>
      <c r="X104" s="154">
        <v>2637980691</v>
      </c>
      <c r="Y104" s="217">
        <v>2484131068</v>
      </c>
      <c r="Z104" s="154"/>
      <c r="AA104" s="154"/>
      <c r="AB104" s="154"/>
      <c r="AC104" s="154">
        <v>2112345176</v>
      </c>
      <c r="AD104" s="217">
        <v>2499946744</v>
      </c>
      <c r="AE104" s="154">
        <v>2789163174</v>
      </c>
      <c r="AF104" s="154">
        <v>3252474593</v>
      </c>
      <c r="AG104" s="154">
        <v>3515425514</v>
      </c>
      <c r="AH104" s="154"/>
      <c r="AI104" s="219"/>
    </row>
    <row r="105" spans="1:36">
      <c r="A105" s="150" t="s">
        <v>139</v>
      </c>
      <c r="C105" s="154">
        <f>C103+C104</f>
        <v>7627912322</v>
      </c>
      <c r="D105" s="218">
        <f>D103+D104</f>
        <v>11957934659</v>
      </c>
      <c r="E105" s="154">
        <f>E103+E104</f>
        <v>5505961623</v>
      </c>
      <c r="F105" s="154"/>
      <c r="G105" s="154"/>
      <c r="H105" s="154"/>
      <c r="I105" s="154">
        <f>I103+I104</f>
        <v>9234466451</v>
      </c>
      <c r="J105" s="193"/>
      <c r="K105" s="193"/>
      <c r="L105" s="154"/>
      <c r="M105" s="154"/>
      <c r="N105" s="154"/>
      <c r="O105" s="154">
        <f>O103+O104</f>
        <v>7359831101</v>
      </c>
      <c r="P105" s="154">
        <f t="shared" ref="P105:V105" si="8">P103+P104</f>
        <v>8979634872</v>
      </c>
      <c r="Q105" s="154">
        <f t="shared" si="8"/>
        <v>11212237199</v>
      </c>
      <c r="R105" s="154">
        <f t="shared" si="8"/>
        <v>8338226130</v>
      </c>
      <c r="S105" s="154">
        <f t="shared" si="8"/>
        <v>10338226130</v>
      </c>
      <c r="T105" s="154">
        <f t="shared" si="8"/>
        <v>12338226130</v>
      </c>
      <c r="U105" s="154">
        <f t="shared" si="8"/>
        <v>12338226130</v>
      </c>
      <c r="V105" s="154">
        <f t="shared" si="8"/>
        <v>8342632966</v>
      </c>
      <c r="W105" s="154">
        <f>W103+W104</f>
        <v>12135079359</v>
      </c>
      <c r="X105" s="154">
        <f>X103+X104</f>
        <v>17404189323</v>
      </c>
      <c r="Y105" s="217">
        <f>Y103+Y104</f>
        <v>16252869572</v>
      </c>
      <c r="Z105" s="219"/>
      <c r="AA105" s="219"/>
      <c r="AB105" s="154"/>
      <c r="AC105" s="154">
        <f>AC103+AC104</f>
        <v>13577095061</v>
      </c>
      <c r="AD105" s="219">
        <f>AD103+AD104</f>
        <v>12825628627</v>
      </c>
      <c r="AE105" s="219">
        <f>AE103+AE104</f>
        <v>17531826632</v>
      </c>
      <c r="AF105" s="219">
        <f>AF103+AF104</f>
        <v>14393313565</v>
      </c>
      <c r="AG105" s="219">
        <f>AG103+AG104</f>
        <v>14815532116</v>
      </c>
      <c r="AH105" s="219"/>
      <c r="AI105" s="219">
        <f>AI103+AI104</f>
        <v>-92065164934</v>
      </c>
    </row>
    <row r="106" spans="1:36">
      <c r="A106" s="150" t="s">
        <v>407</v>
      </c>
      <c r="E106" s="154"/>
      <c r="F106" s="154"/>
      <c r="H106" s="217"/>
      <c r="I106" s="154"/>
      <c r="J106" s="193"/>
      <c r="K106" s="220"/>
      <c r="L106" s="154"/>
      <c r="M106" s="154"/>
      <c r="N106" s="154"/>
      <c r="P106" s="154"/>
      <c r="S106" s="219"/>
      <c r="T106" s="219"/>
      <c r="U106" s="154"/>
      <c r="V106" s="154"/>
      <c r="X106" s="154"/>
      <c r="Z106" s="219"/>
      <c r="AB106" s="154"/>
      <c r="AG106" s="154"/>
      <c r="AH106" s="154"/>
      <c r="AJ106" s="219"/>
    </row>
    <row r="107" spans="1:36">
      <c r="C107" s="193">
        <v>8249167684</v>
      </c>
      <c r="F107" s="154"/>
      <c r="I107" s="219"/>
      <c r="K107" s="218"/>
      <c r="L107" s="154"/>
      <c r="R107" s="217" t="e">
        <f>R79+R81+R84+R87+R91+R95+#REF!+#REF!+#REF!+#REF!+#REF!+#REF!+#REF!+#REF!+#REF!</f>
        <v>#REF!</v>
      </c>
      <c r="S107" s="219"/>
      <c r="V107" s="154"/>
      <c r="X107" s="219"/>
      <c r="AD107" s="398" t="s">
        <v>473</v>
      </c>
      <c r="AE107" s="398"/>
    </row>
    <row r="108" spans="1:36">
      <c r="L108" s="154"/>
      <c r="Y108" s="154"/>
      <c r="AD108" s="169" t="s">
        <v>462</v>
      </c>
      <c r="AE108" s="176">
        <v>9061595</v>
      </c>
      <c r="AF108" s="399" t="s">
        <v>475</v>
      </c>
      <c r="AG108" s="400"/>
      <c r="AH108" s="222"/>
      <c r="AI108" s="169"/>
      <c r="AJ108" s="176"/>
    </row>
    <row r="109" spans="1:36">
      <c r="C109" s="150"/>
      <c r="D109" s="150"/>
      <c r="H109" s="219"/>
      <c r="P109" s="395" t="s">
        <v>430</v>
      </c>
      <c r="Q109" s="395"/>
      <c r="R109" s="395"/>
      <c r="S109" s="395"/>
      <c r="T109" s="395"/>
      <c r="AD109" s="169" t="s">
        <v>463</v>
      </c>
      <c r="AE109" s="176">
        <v>17329877</v>
      </c>
      <c r="AF109" s="169" t="s">
        <v>474</v>
      </c>
      <c r="AG109" s="222">
        <v>29465088</v>
      </c>
      <c r="AH109" s="222"/>
      <c r="AI109" s="169"/>
      <c r="AJ109" s="176"/>
    </row>
    <row r="110" spans="1:36">
      <c r="O110" s="150" t="s">
        <v>375</v>
      </c>
      <c r="P110" s="397">
        <v>44544</v>
      </c>
      <c r="Q110" s="397"/>
      <c r="R110" s="397"/>
      <c r="S110" s="397"/>
      <c r="T110" s="397"/>
      <c r="U110" s="185"/>
      <c r="AD110" s="169" t="s">
        <v>464</v>
      </c>
      <c r="AE110" s="176">
        <v>6250000</v>
      </c>
      <c r="AF110" s="169"/>
      <c r="AG110" s="222"/>
      <c r="AH110" s="222"/>
      <c r="AI110" s="169"/>
      <c r="AJ110" s="176"/>
    </row>
    <row r="111" spans="1:36">
      <c r="P111" s="249" t="s">
        <v>443</v>
      </c>
      <c r="Q111" s="249"/>
      <c r="R111" s="249"/>
      <c r="S111" s="249" t="s">
        <v>444</v>
      </c>
      <c r="T111" s="249" t="s">
        <v>445</v>
      </c>
      <c r="U111" s="185"/>
      <c r="AD111" s="169" t="s">
        <v>465</v>
      </c>
      <c r="AE111" s="176">
        <v>6250000</v>
      </c>
      <c r="AF111" s="169"/>
      <c r="AG111" s="222"/>
      <c r="AH111" s="222"/>
      <c r="AI111" s="169"/>
      <c r="AJ111" s="176"/>
    </row>
    <row r="112" spans="1:36">
      <c r="C112" s="150"/>
      <c r="D112" s="150"/>
      <c r="M112" s="247"/>
      <c r="N112" s="247"/>
      <c r="O112" s="247" t="s">
        <v>376</v>
      </c>
      <c r="P112" s="250" t="s">
        <v>431</v>
      </c>
      <c r="Q112" s="250"/>
      <c r="R112" s="250"/>
      <c r="S112" s="250" t="s">
        <v>432</v>
      </c>
      <c r="T112" s="250">
        <v>720000000</v>
      </c>
      <c r="U112" s="247"/>
      <c r="V112" s="247"/>
      <c r="AD112" s="169" t="s">
        <v>466</v>
      </c>
      <c r="AE112" s="176">
        <v>16776235</v>
      </c>
      <c r="AF112" s="192"/>
      <c r="AG112" s="224"/>
      <c r="AH112" s="224"/>
      <c r="AI112" s="169"/>
      <c r="AJ112" s="176"/>
    </row>
    <row r="113" spans="3:42">
      <c r="C113" s="150"/>
      <c r="D113" s="150"/>
      <c r="M113" s="247"/>
      <c r="N113" s="247"/>
      <c r="O113" s="247"/>
      <c r="P113" s="250" t="s">
        <v>433</v>
      </c>
      <c r="Q113" s="250"/>
      <c r="R113" s="250"/>
      <c r="S113" s="250" t="s">
        <v>434</v>
      </c>
      <c r="T113" s="250">
        <v>207000000</v>
      </c>
      <c r="U113" s="247"/>
      <c r="V113" s="247"/>
      <c r="W113" s="395"/>
      <c r="X113" s="395"/>
      <c r="Y113" s="395"/>
      <c r="Z113" s="395"/>
      <c r="AD113" s="169" t="s">
        <v>467</v>
      </c>
      <c r="AE113" s="176">
        <v>9662500</v>
      </c>
      <c r="AG113" s="154"/>
      <c r="AH113" s="154"/>
      <c r="AI113" s="169"/>
      <c r="AJ113" s="176"/>
    </row>
    <row r="114" spans="3:42">
      <c r="C114" s="150"/>
      <c r="D114" s="150"/>
      <c r="F114" s="150" t="s">
        <v>111</v>
      </c>
      <c r="H114" s="150" t="s">
        <v>265</v>
      </c>
      <c r="J114" s="193">
        <v>623913283</v>
      </c>
      <c r="M114" s="247"/>
      <c r="N114" s="247"/>
      <c r="O114" s="247"/>
      <c r="P114" s="250" t="s">
        <v>433</v>
      </c>
      <c r="Q114" s="250"/>
      <c r="R114" s="250"/>
      <c r="S114" s="250" t="s">
        <v>435</v>
      </c>
      <c r="T114" s="250">
        <v>202500000</v>
      </c>
      <c r="U114" s="247"/>
      <c r="V114" s="247"/>
      <c r="AD114" s="169" t="s">
        <v>468</v>
      </c>
      <c r="AE114" s="176">
        <v>5901551</v>
      </c>
      <c r="AG114" s="154"/>
      <c r="AH114" s="154"/>
      <c r="AI114" s="169"/>
      <c r="AJ114" s="176"/>
    </row>
    <row r="115" spans="3:42">
      <c r="C115" s="150"/>
      <c r="D115" s="150"/>
      <c r="J115" s="193">
        <v>-9536328</v>
      </c>
      <c r="M115" s="247"/>
      <c r="N115" s="247"/>
      <c r="O115" s="247"/>
      <c r="P115" s="250" t="s">
        <v>236</v>
      </c>
      <c r="Q115" s="250"/>
      <c r="R115" s="250"/>
      <c r="S115" s="250" t="s">
        <v>436</v>
      </c>
      <c r="T115" s="250">
        <v>999999</v>
      </c>
      <c r="U115" s="247"/>
      <c r="V115" s="247"/>
      <c r="W115" s="225"/>
      <c r="X115" s="225"/>
      <c r="Y115" s="225"/>
      <c r="Z115" s="225"/>
      <c r="AD115" s="169" t="s">
        <v>469</v>
      </c>
      <c r="AE115" s="176">
        <v>21743422</v>
      </c>
      <c r="AG115" s="154"/>
      <c r="AH115" s="154"/>
      <c r="AI115" s="169"/>
      <c r="AJ115" s="176"/>
    </row>
    <row r="116" spans="3:42">
      <c r="C116" s="150"/>
      <c r="D116" s="150"/>
      <c r="F116" s="150" t="s">
        <v>111</v>
      </c>
      <c r="J116" s="193">
        <v>-35329927</v>
      </c>
      <c r="M116" s="247"/>
      <c r="N116" s="247"/>
      <c r="O116" s="247"/>
      <c r="P116" s="250" t="s">
        <v>437</v>
      </c>
      <c r="Q116" s="250"/>
      <c r="R116" s="250"/>
      <c r="S116" s="250" t="s">
        <v>438</v>
      </c>
      <c r="T116" s="250">
        <v>1619800</v>
      </c>
      <c r="U116" s="247"/>
      <c r="V116" s="247"/>
      <c r="W116" s="226"/>
      <c r="X116" s="169"/>
      <c r="Y116" s="176"/>
      <c r="Z116" s="169"/>
      <c r="AD116" s="169" t="s">
        <v>470</v>
      </c>
      <c r="AE116" s="176">
        <v>7750000</v>
      </c>
      <c r="AG116" s="154"/>
      <c r="AH116" s="154"/>
      <c r="AI116" s="169"/>
      <c r="AJ116" s="176"/>
    </row>
    <row r="117" spans="3:42">
      <c r="C117" s="150"/>
      <c r="D117" s="150"/>
      <c r="J117" s="193">
        <v>-94644000</v>
      </c>
      <c r="M117" s="247"/>
      <c r="N117" s="247"/>
      <c r="O117" s="247"/>
      <c r="P117" s="250" t="s">
        <v>437</v>
      </c>
      <c r="Q117" s="250"/>
      <c r="R117" s="250"/>
      <c r="S117" s="250" t="s">
        <v>439</v>
      </c>
      <c r="T117" s="250">
        <v>5617950</v>
      </c>
      <c r="U117" s="247"/>
      <c r="V117" s="247"/>
      <c r="W117" s="226"/>
      <c r="X117" s="169"/>
      <c r="Y117" s="176"/>
      <c r="Z117" s="169"/>
      <c r="AD117" s="169" t="s">
        <v>471</v>
      </c>
      <c r="AE117" s="176">
        <v>28065453</v>
      </c>
      <c r="AI117" s="169"/>
      <c r="AJ117" s="176"/>
    </row>
    <row r="118" spans="3:42">
      <c r="C118" s="150"/>
      <c r="D118" s="150"/>
      <c r="J118" s="193">
        <v>-5550198</v>
      </c>
      <c r="M118" s="247" t="s">
        <v>97</v>
      </c>
      <c r="N118" s="247"/>
      <c r="O118" s="247"/>
      <c r="P118" s="250" t="s">
        <v>440</v>
      </c>
      <c r="Q118" s="250"/>
      <c r="R118" s="250"/>
      <c r="S118" s="250" t="s">
        <v>441</v>
      </c>
      <c r="T118" s="250">
        <v>32809000</v>
      </c>
      <c r="U118" s="247"/>
      <c r="V118" s="247"/>
      <c r="W118" s="226"/>
      <c r="X118" s="169"/>
      <c r="Y118" s="176"/>
      <c r="Z118" s="169"/>
      <c r="AD118" s="169" t="s">
        <v>472</v>
      </c>
      <c r="AE118" s="176">
        <v>17255625</v>
      </c>
      <c r="AI118" s="169"/>
      <c r="AJ118" s="176"/>
      <c r="AM118" s="150" t="s">
        <v>111</v>
      </c>
    </row>
    <row r="119" spans="3:42">
      <c r="C119" s="150"/>
      <c r="D119" s="150"/>
      <c r="J119" s="193">
        <v>-61641742</v>
      </c>
      <c r="M119" s="247"/>
      <c r="N119" s="247"/>
      <c r="O119" s="247"/>
      <c r="P119" s="250" t="s">
        <v>440</v>
      </c>
      <c r="Q119" s="250"/>
      <c r="R119" s="250"/>
      <c r="S119" s="250" t="s">
        <v>442</v>
      </c>
      <c r="T119" s="250">
        <v>6107500</v>
      </c>
      <c r="U119" s="247"/>
      <c r="V119" s="247"/>
      <c r="W119" s="226"/>
      <c r="X119" s="169"/>
      <c r="Y119" s="176"/>
      <c r="Z119" s="169"/>
      <c r="AD119" s="169" t="s">
        <v>130</v>
      </c>
      <c r="AE119" s="176">
        <v>131535483</v>
      </c>
      <c r="AI119" s="169"/>
      <c r="AJ119" s="176"/>
    </row>
    <row r="120" spans="3:42">
      <c r="C120" s="150"/>
      <c r="D120" s="150"/>
      <c r="J120" s="193">
        <v>-3124130</v>
      </c>
      <c r="O120" s="228"/>
      <c r="P120" s="396" t="s">
        <v>446</v>
      </c>
      <c r="Q120" s="396"/>
      <c r="R120" s="396"/>
      <c r="S120" s="396"/>
      <c r="T120" s="251">
        <f>SUM(T112:T119)</f>
        <v>1176654249</v>
      </c>
      <c r="U120" s="228"/>
      <c r="V120" s="229"/>
      <c r="W120" s="228"/>
      <c r="Y120" s="154"/>
      <c r="AD120" s="169" t="s">
        <v>128</v>
      </c>
      <c r="AE120" s="176">
        <v>70661200</v>
      </c>
      <c r="AI120" s="169"/>
      <c r="AJ120" s="176"/>
      <c r="AN120" s="150" t="s">
        <v>108</v>
      </c>
    </row>
    <row r="121" spans="3:42">
      <c r="C121" s="150"/>
      <c r="D121" s="154">
        <v>703736164</v>
      </c>
      <c r="J121" s="193">
        <f>SUM(J114:J120)</f>
        <v>414086958</v>
      </c>
      <c r="O121" s="228"/>
      <c r="P121" s="228"/>
      <c r="Q121" s="228"/>
      <c r="R121" s="228"/>
      <c r="S121" s="228"/>
      <c r="T121" s="228"/>
      <c r="U121" s="228"/>
      <c r="V121" s="229"/>
      <c r="W121" s="248">
        <v>23943068</v>
      </c>
      <c r="X121" s="154">
        <v>64430100</v>
      </c>
      <c r="Y121" s="154">
        <v>752985035</v>
      </c>
      <c r="AD121" s="169" t="s">
        <v>128</v>
      </c>
      <c r="AE121" s="176">
        <v>58786100</v>
      </c>
      <c r="AI121" s="169"/>
      <c r="AJ121" s="176"/>
    </row>
    <row r="122" spans="3:42">
      <c r="C122" s="150"/>
      <c r="D122" s="154"/>
      <c r="E122" s="154">
        <v>3913100</v>
      </c>
      <c r="O122" s="228"/>
      <c r="P122" s="248"/>
      <c r="Q122" s="248"/>
      <c r="R122" s="248"/>
      <c r="S122" s="248"/>
      <c r="T122" s="248"/>
      <c r="U122" s="248"/>
      <c r="V122" s="228"/>
      <c r="W122" s="248" t="e">
        <f ca="1">[3]!terbilang(W121)</f>
        <v>#NAME?</v>
      </c>
      <c r="X122" s="248" t="e">
        <f ca="1">[3]!terbilang(X121)</f>
        <v>#NAME?</v>
      </c>
      <c r="Y122" s="248" t="e">
        <f ca="1">[3]!terbilang(Y121)</f>
        <v>#NAME?</v>
      </c>
      <c r="Z122" s="154"/>
      <c r="AA122" s="154"/>
      <c r="AD122" s="169" t="s">
        <v>128</v>
      </c>
      <c r="AE122" s="176">
        <v>12601000</v>
      </c>
      <c r="AI122" s="169"/>
      <c r="AJ122" s="176"/>
    </row>
    <row r="123" spans="3:42">
      <c r="D123" s="193"/>
      <c r="E123" s="154">
        <v>5857200</v>
      </c>
      <c r="P123" s="247"/>
      <c r="Q123" s="247"/>
      <c r="R123" s="247"/>
      <c r="S123" s="247"/>
      <c r="T123" s="154"/>
      <c r="U123" s="154"/>
      <c r="W123" s="154">
        <v>3914875</v>
      </c>
      <c r="X123" s="154">
        <v>374490</v>
      </c>
      <c r="Y123" s="154">
        <v>1138497</v>
      </c>
      <c r="Z123" s="154"/>
      <c r="AA123" s="154"/>
      <c r="AD123" s="169"/>
      <c r="AE123" s="176"/>
      <c r="AI123" s="192"/>
      <c r="AJ123" s="227"/>
    </row>
    <row r="124" spans="3:42">
      <c r="D124" s="193"/>
      <c r="E124" s="154">
        <v>4120000</v>
      </c>
      <c r="P124" s="154"/>
      <c r="Q124" s="154"/>
      <c r="R124" s="154"/>
      <c r="S124" s="154"/>
      <c r="T124" s="154"/>
      <c r="U124" s="154"/>
      <c r="W124" s="248" t="e">
        <f ca="1">[3]!terbilang(W123)</f>
        <v>#NAME?</v>
      </c>
      <c r="X124" s="248" t="e">
        <f ca="1">[3]!terbilang(X123)</f>
        <v>#NAME?</v>
      </c>
      <c r="Y124" s="248" t="e">
        <f ca="1">[3]!terbilang(Y123)</f>
        <v>#NAME?</v>
      </c>
      <c r="Z124" s="154"/>
      <c r="AA124" s="154"/>
      <c r="AD124" s="192" t="s">
        <v>241</v>
      </c>
      <c r="AE124" s="227">
        <f>SUM(AE108:AE122)</f>
        <v>419630041</v>
      </c>
      <c r="AJ124" s="154"/>
    </row>
    <row r="125" spans="3:42">
      <c r="D125" s="193"/>
      <c r="E125" s="154">
        <v>1750000</v>
      </c>
      <c r="I125" s="154">
        <v>32281200</v>
      </c>
      <c r="J125" s="193">
        <v>882218380</v>
      </c>
      <c r="K125" s="193">
        <v>4925482624</v>
      </c>
      <c r="L125" s="154">
        <v>5054376</v>
      </c>
      <c r="M125" s="154"/>
      <c r="P125" s="154"/>
      <c r="Q125" s="154"/>
      <c r="R125" s="154"/>
      <c r="S125" s="154"/>
      <c r="T125" s="154"/>
      <c r="U125" s="154"/>
      <c r="W125" s="154">
        <v>1090871</v>
      </c>
      <c r="X125" s="154">
        <v>1256222</v>
      </c>
      <c r="Y125" s="154">
        <v>2039998</v>
      </c>
      <c r="Z125" s="154"/>
      <c r="AA125" s="154"/>
      <c r="AJ125" s="154"/>
      <c r="AL125" s="150" t="s">
        <v>112</v>
      </c>
    </row>
    <row r="126" spans="3:42">
      <c r="D126" s="193"/>
      <c r="E126" s="154">
        <v>1350000</v>
      </c>
      <c r="I126" s="154" t="e">
        <f ca="1">[3]!terbilang(I125)</f>
        <v>#NAME?</v>
      </c>
      <c r="J126" s="154" t="e">
        <f ca="1">[3]!terbilang(J125)</f>
        <v>#NAME?</v>
      </c>
      <c r="K126" s="154" t="e">
        <f ca="1">[3]!terbilang(K125)</f>
        <v>#NAME?</v>
      </c>
      <c r="L126" s="154" t="e">
        <f ca="1">[3]!terbilang(L125)</f>
        <v>#NAME?</v>
      </c>
      <c r="M126" s="154"/>
      <c r="P126" s="154"/>
      <c r="Q126" s="154"/>
      <c r="R126" s="154"/>
      <c r="S126" s="154"/>
      <c r="T126" s="154"/>
      <c r="U126" s="154"/>
      <c r="W126" s="248" t="e">
        <f ca="1">[3]!terbilang(W125)</f>
        <v>#NAME?</v>
      </c>
      <c r="X126" s="248" t="e">
        <f ca="1">[3]!terbilang(X125)</f>
        <v>#NAME?</v>
      </c>
      <c r="Y126" s="248" t="e">
        <f ca="1">[3]!terbilang(Y125)</f>
        <v>#NAME?</v>
      </c>
      <c r="Z126" s="154"/>
      <c r="AA126" s="154"/>
      <c r="AD126" s="150" t="s">
        <v>415</v>
      </c>
      <c r="AF126" s="154">
        <v>1000000000</v>
      </c>
      <c r="AG126" s="154">
        <v>202787778</v>
      </c>
      <c r="AH126" s="154">
        <v>168013836</v>
      </c>
      <c r="AI126" s="154">
        <v>88797176</v>
      </c>
      <c r="AJ126" s="154">
        <v>287208700</v>
      </c>
      <c r="AP126" s="150" t="s">
        <v>108</v>
      </c>
    </row>
    <row r="127" spans="3:42">
      <c r="D127" s="193"/>
      <c r="E127" s="154">
        <v>27759800</v>
      </c>
      <c r="I127" s="154">
        <v>29932407</v>
      </c>
      <c r="J127" s="193"/>
      <c r="K127" s="193"/>
      <c r="L127" s="154"/>
      <c r="M127" s="154"/>
      <c r="P127" s="154">
        <v>720000000</v>
      </c>
      <c r="Q127" s="154"/>
      <c r="R127" s="154"/>
      <c r="S127" s="154">
        <v>207000000</v>
      </c>
      <c r="T127" s="154">
        <v>202500000</v>
      </c>
      <c r="U127" s="154">
        <v>999999</v>
      </c>
      <c r="W127" s="154">
        <v>4745000</v>
      </c>
      <c r="X127" s="154"/>
      <c r="Y127" s="154"/>
      <c r="Z127" s="154"/>
      <c r="AA127" s="154"/>
      <c r="AE127" s="154">
        <v>160312320</v>
      </c>
      <c r="AF127" s="154" t="e">
        <f ca="1">[3]!terbilang(AF126)</f>
        <v>#NAME?</v>
      </c>
      <c r="AG127" s="154" t="e">
        <f ca="1">[3]!terbilang(AG126)</f>
        <v>#NAME?</v>
      </c>
      <c r="AH127" s="154" t="e">
        <f ca="1">[3]!terbilang(AH126)</f>
        <v>#NAME?</v>
      </c>
      <c r="AI127" s="154" t="e">
        <f ca="1">[3]!terbilang(AI126)</f>
        <v>#NAME?</v>
      </c>
      <c r="AJ127" s="154" t="e">
        <f ca="1">[3]!terbilang(AJ126)</f>
        <v>#NAME?</v>
      </c>
    </row>
    <row r="128" spans="3:42">
      <c r="C128" s="150"/>
      <c r="D128" s="154"/>
      <c r="E128" s="154">
        <v>27759800</v>
      </c>
      <c r="I128" s="154" t="e">
        <f ca="1">[3]!terbilang(I127)</f>
        <v>#NAME?</v>
      </c>
      <c r="J128" s="154"/>
      <c r="K128" s="154"/>
      <c r="L128" s="154"/>
      <c r="M128" s="154"/>
      <c r="P128" s="154" t="e">
        <f ca="1">[3]!terbilang(P127)</f>
        <v>#NAME?</v>
      </c>
      <c r="Q128" s="154" t="e">
        <f ca="1">[3]!terbilang(Q127)</f>
        <v>#NAME?</v>
      </c>
      <c r="R128" s="154" t="e">
        <f ca="1">[3]!terbilang(R127)</f>
        <v>#NAME?</v>
      </c>
      <c r="S128" s="154" t="e">
        <f ca="1">[3]!terbilang(S127)</f>
        <v>#NAME?</v>
      </c>
      <c r="T128" s="154" t="e">
        <f ca="1">[3]!terbilang(T127)</f>
        <v>#NAME?</v>
      </c>
      <c r="U128" s="154" t="e">
        <f ca="1">[3]!terbilang(U127)</f>
        <v>#NAME?</v>
      </c>
      <c r="W128" s="248" t="e">
        <f ca="1">[3]!terbilang(W127)</f>
        <v>#NAME?</v>
      </c>
      <c r="X128" s="154"/>
      <c r="Y128" s="154"/>
      <c r="Z128" s="154"/>
      <c r="AA128" s="154"/>
      <c r="AE128" s="154" t="e">
        <f ca="1">[3]!terbilang(AE127)</f>
        <v>#NAME?</v>
      </c>
      <c r="AF128" s="154"/>
      <c r="AG128" s="154"/>
      <c r="AH128" s="154"/>
      <c r="AI128" s="154"/>
      <c r="AJ128" s="154"/>
    </row>
    <row r="129" spans="3:36">
      <c r="C129" s="150"/>
      <c r="D129" s="154"/>
      <c r="E129" s="154">
        <v>27759800</v>
      </c>
      <c r="I129" s="154"/>
      <c r="J129" s="154"/>
      <c r="K129" s="154"/>
      <c r="L129" s="154"/>
      <c r="M129" s="154"/>
      <c r="P129" s="154">
        <v>1619800</v>
      </c>
      <c r="Q129" s="154"/>
      <c r="R129" s="154"/>
      <c r="S129" s="154">
        <v>5617950</v>
      </c>
      <c r="T129" s="154">
        <v>32809000</v>
      </c>
      <c r="U129" s="154">
        <v>6107500</v>
      </c>
      <c r="W129" s="154"/>
      <c r="X129" s="154"/>
      <c r="Y129" s="154"/>
      <c r="Z129" s="154"/>
      <c r="AA129" s="154"/>
      <c r="AE129" s="154">
        <v>17329877</v>
      </c>
      <c r="AF129" s="154"/>
      <c r="AG129" s="154"/>
      <c r="AH129" s="154"/>
      <c r="AI129" s="154"/>
      <c r="AJ129" s="154"/>
    </row>
    <row r="130" spans="3:36">
      <c r="D130" s="193"/>
      <c r="F130" s="219">
        <f>SUM(E122:E130)</f>
        <v>100269700</v>
      </c>
      <c r="I130" s="154">
        <v>1150438275</v>
      </c>
      <c r="J130" s="193">
        <v>434565803</v>
      </c>
      <c r="K130" s="193">
        <v>1339904399</v>
      </c>
      <c r="L130" s="154">
        <v>32060700</v>
      </c>
      <c r="M130" s="154"/>
      <c r="P130" s="154" t="e">
        <f ca="1">[3]!terbilang(P129)</f>
        <v>#NAME?</v>
      </c>
      <c r="Q130" s="154" t="e">
        <f ca="1">[3]!terbilang(Q129)</f>
        <v>#NAME?</v>
      </c>
      <c r="R130" s="154" t="e">
        <f ca="1">[3]!terbilang(R129)</f>
        <v>#NAME?</v>
      </c>
      <c r="S130" s="154" t="e">
        <f ca="1">[3]!terbilang(S129)</f>
        <v>#NAME?</v>
      </c>
      <c r="T130" s="154" t="e">
        <f ca="1">[3]!terbilang(T129)</f>
        <v>#NAME?</v>
      </c>
      <c r="U130" s="154" t="e">
        <f ca="1">[3]!terbilang(U129)</f>
        <v>#NAME?</v>
      </c>
      <c r="W130" s="154">
        <v>262235174</v>
      </c>
      <c r="X130" s="154">
        <v>423741476</v>
      </c>
      <c r="Y130" s="154">
        <v>2681657117</v>
      </c>
      <c r="Z130" s="154">
        <v>17207300</v>
      </c>
      <c r="AA130" s="154"/>
      <c r="AE130" s="154" t="e">
        <f ca="1">[3]!terbilang(AE129)</f>
        <v>#NAME?</v>
      </c>
      <c r="AF130" s="154"/>
      <c r="AG130" s="154"/>
      <c r="AH130" s="154"/>
      <c r="AI130" s="154"/>
      <c r="AJ130" s="154"/>
    </row>
    <row r="131" spans="3:36">
      <c r="I131" s="154" t="e">
        <f ca="1">[3]!terbilang(I130)</f>
        <v>#NAME?</v>
      </c>
      <c r="J131" s="154" t="e">
        <f ca="1">[3]!terbilang(J130)</f>
        <v>#NAME?</v>
      </c>
      <c r="K131" s="154" t="e">
        <f ca="1">[3]!terbilang(K130)</f>
        <v>#NAME?</v>
      </c>
      <c r="L131" s="154" t="e">
        <f ca="1">[3]!terbilang(L130)</f>
        <v>#NAME?</v>
      </c>
      <c r="M131" s="154" t="e">
        <f ca="1">[3]!terbilang(M130)</f>
        <v>#NAME?</v>
      </c>
      <c r="P131" s="154">
        <v>482809391</v>
      </c>
      <c r="Q131" s="154"/>
      <c r="R131" s="154"/>
      <c r="S131" s="154">
        <v>192425941</v>
      </c>
      <c r="T131" s="154"/>
      <c r="U131" s="154"/>
      <c r="W131" s="248" t="e">
        <f ca="1">[3]!terbilang(W130)</f>
        <v>#NAME?</v>
      </c>
      <c r="X131" s="248" t="e">
        <f ca="1">[3]!terbilang(X130)</f>
        <v>#NAME?</v>
      </c>
      <c r="Y131" s="248" t="e">
        <f ca="1">[3]!terbilang(Y130)</f>
        <v>#NAME?</v>
      </c>
      <c r="Z131" s="248" t="e">
        <f ca="1">[3]!terbilang(Z130)</f>
        <v>#NAME?</v>
      </c>
      <c r="AA131" s="154"/>
      <c r="AE131" s="154"/>
      <c r="AF131" s="154"/>
      <c r="AG131" s="154"/>
      <c r="AH131" s="154"/>
      <c r="AI131" s="154"/>
      <c r="AJ131" s="154"/>
    </row>
    <row r="132" spans="3:36">
      <c r="I132" s="154">
        <v>1257605765</v>
      </c>
      <c r="J132" s="193">
        <v>510859887</v>
      </c>
      <c r="K132" s="193">
        <v>6916832</v>
      </c>
      <c r="L132" s="154">
        <v>2792701</v>
      </c>
      <c r="M132" s="154"/>
      <c r="P132" s="154" t="e">
        <f ca="1">[3]!terbilang(P131)</f>
        <v>#NAME?</v>
      </c>
      <c r="Q132" s="154" t="e">
        <f ca="1">[3]!terbilang(Q131)</f>
        <v>#NAME?</v>
      </c>
      <c r="R132" s="154" t="e">
        <f ca="1">[3]!terbilang(R131)</f>
        <v>#NAME?</v>
      </c>
      <c r="S132" s="154" t="e">
        <f ca="1">[3]!terbilang(S131)</f>
        <v>#NAME?</v>
      </c>
      <c r="T132" s="154"/>
      <c r="U132" s="154"/>
      <c r="W132" s="154">
        <v>979635822</v>
      </c>
      <c r="X132" s="154">
        <v>6367019</v>
      </c>
      <c r="Y132" s="154">
        <v>1218750</v>
      </c>
      <c r="Z132" s="154">
        <v>1099157</v>
      </c>
      <c r="AA132" s="154"/>
      <c r="AB132" s="154"/>
      <c r="AE132" s="154"/>
      <c r="AF132" s="154"/>
      <c r="AG132" s="154"/>
      <c r="AH132" s="154"/>
      <c r="AI132" s="154"/>
      <c r="AJ132" s="154"/>
    </row>
    <row r="133" spans="3:36">
      <c r="I133" s="154" t="e">
        <f ca="1">[3]!terbilang(I132)</f>
        <v>#NAME?</v>
      </c>
      <c r="J133" s="154" t="e">
        <f ca="1">[3]!terbilang(J132)</f>
        <v>#NAME?</v>
      </c>
      <c r="K133" s="154" t="e">
        <f ca="1">[3]!terbilang(K132)</f>
        <v>#NAME?</v>
      </c>
      <c r="L133" s="154" t="e">
        <f ca="1">[3]!terbilang(L132)</f>
        <v>#NAME?</v>
      </c>
      <c r="M133" s="154"/>
      <c r="P133" s="154"/>
      <c r="Q133" s="154"/>
      <c r="R133" s="154"/>
      <c r="S133" s="154"/>
      <c r="T133" s="154"/>
      <c r="U133" s="154"/>
      <c r="W133" s="248" t="e">
        <f ca="1">[3]!terbilang(W132)</f>
        <v>#NAME?</v>
      </c>
      <c r="X133" s="248" t="e">
        <f ca="1">[3]!terbilang(X132)</f>
        <v>#NAME?</v>
      </c>
      <c r="Y133" s="248" t="e">
        <f ca="1">[3]!terbilang(Y132)</f>
        <v>#NAME?</v>
      </c>
      <c r="Z133" s="248" t="e">
        <f ca="1">[3]!terbilang(Z132)</f>
        <v>#NAME?</v>
      </c>
      <c r="AA133" s="154"/>
      <c r="AB133" s="154"/>
      <c r="AE133" s="154"/>
      <c r="AF133" s="154"/>
      <c r="AG133" s="154"/>
      <c r="AH133" s="154"/>
      <c r="AI133" s="154"/>
      <c r="AJ133" s="154"/>
    </row>
    <row r="134" spans="3:36">
      <c r="I134" s="154">
        <v>4489626706</v>
      </c>
      <c r="J134" s="193"/>
      <c r="K134" s="193"/>
      <c r="L134" s="154"/>
      <c r="P134" s="154"/>
      <c r="Q134" s="154"/>
      <c r="R134" s="154"/>
      <c r="S134" s="154"/>
      <c r="T134" s="154"/>
      <c r="U134" s="154"/>
      <c r="X134" s="154"/>
      <c r="Y134" s="154"/>
      <c r="Z134" s="154"/>
      <c r="AA134" s="154"/>
      <c r="AB134" s="154"/>
      <c r="AF134" s="154"/>
      <c r="AG134" s="154"/>
      <c r="AH134" s="154"/>
      <c r="AI134" s="154"/>
      <c r="AJ134" s="154"/>
    </row>
    <row r="135" spans="3:36">
      <c r="I135" s="154" t="e">
        <f ca="1">[3]!terbilang(I134)</f>
        <v>#NAME?</v>
      </c>
      <c r="J135" s="154" t="e">
        <f ca="1">[3]!terbilang(J134)</f>
        <v>#NAME?</v>
      </c>
      <c r="K135" s="154" t="e">
        <f ca="1">[3]!terbilang(K134)</f>
        <v>#NAME?</v>
      </c>
      <c r="L135" s="154"/>
      <c r="W135" s="154">
        <v>500000000</v>
      </c>
      <c r="X135" s="154">
        <v>7823406</v>
      </c>
      <c r="Y135" s="154">
        <v>9746278</v>
      </c>
      <c r="Z135" s="154">
        <v>1297600</v>
      </c>
      <c r="AA135" s="154"/>
      <c r="AB135" s="154"/>
      <c r="AD135" s="150">
        <v>61928963</v>
      </c>
      <c r="AE135" s="150">
        <v>37466006</v>
      </c>
      <c r="AF135" s="154"/>
      <c r="AG135" s="154"/>
      <c r="AH135" s="154"/>
      <c r="AI135" s="154"/>
      <c r="AJ135" s="154"/>
    </row>
    <row r="136" spans="3:36">
      <c r="D136" s="182">
        <v>1931403306</v>
      </c>
      <c r="E136" s="150">
        <v>3913100</v>
      </c>
      <c r="F136" s="150">
        <v>5857200</v>
      </c>
      <c r="G136" s="150">
        <v>1350000</v>
      </c>
      <c r="I136" s="154"/>
      <c r="J136" s="193"/>
      <c r="K136" s="193"/>
      <c r="L136" s="154"/>
      <c r="R136" s="185">
        <v>44545</v>
      </c>
      <c r="S136" s="150" t="s">
        <v>448</v>
      </c>
      <c r="T136" s="154">
        <v>22267617</v>
      </c>
      <c r="W136" s="248" t="e">
        <f ca="1">[3]!terbilang(W135)</f>
        <v>#NAME?</v>
      </c>
      <c r="X136" s="248" t="e">
        <f ca="1">[3]!terbilang(X135)</f>
        <v>#NAME?</v>
      </c>
      <c r="Y136" s="248" t="e">
        <f ca="1">[3]!terbilang(Y135)</f>
        <v>#NAME?</v>
      </c>
      <c r="Z136" s="248" t="e">
        <f ca="1">[3]!terbilang(Z135)</f>
        <v>#NAME?</v>
      </c>
      <c r="AA136" s="154"/>
      <c r="AB136" s="154"/>
      <c r="AD136" s="150" t="e">
        <f ca="1">[3]!terbilang(AD135)</f>
        <v>#NAME?</v>
      </c>
      <c r="AE136" s="150" t="e">
        <f ca="1">[3]!terbilang(AE135)</f>
        <v>#NAME?</v>
      </c>
    </row>
    <row r="137" spans="3:36">
      <c r="D137" s="182" t="e">
        <f ca="1">[3]!terbilang(D136)</f>
        <v>#NAME?</v>
      </c>
      <c r="E137" s="182" t="e">
        <f ca="1">[3]!terbilang(E136)</f>
        <v>#NAME?</v>
      </c>
      <c r="F137" s="182" t="e">
        <f ca="1">[3]!terbilang(F136)</f>
        <v>#NAME?</v>
      </c>
      <c r="G137" s="182" t="e">
        <f ca="1">[3]!terbilang(G136)</f>
        <v>#NAME?</v>
      </c>
      <c r="I137" s="154">
        <v>5111069</v>
      </c>
      <c r="J137" s="193">
        <v>60389335</v>
      </c>
      <c r="K137" s="193">
        <v>1720000</v>
      </c>
      <c r="L137" s="154">
        <v>2744362</v>
      </c>
      <c r="R137" s="185">
        <v>44545</v>
      </c>
      <c r="S137" s="150" t="s">
        <v>449</v>
      </c>
      <c r="T137" s="154">
        <v>35342613</v>
      </c>
      <c r="W137" s="154">
        <v>906000</v>
      </c>
      <c r="X137" s="154">
        <v>2483712123</v>
      </c>
      <c r="Y137" s="154">
        <v>14798785</v>
      </c>
      <c r="Z137" s="154">
        <v>4834963210</v>
      </c>
      <c r="AA137" s="154"/>
      <c r="AB137" s="154"/>
    </row>
    <row r="138" spans="3:36">
      <c r="C138" s="150"/>
      <c r="D138" s="182">
        <v>27759800</v>
      </c>
      <c r="E138" s="150">
        <v>27759800</v>
      </c>
      <c r="F138" s="150">
        <v>27759800</v>
      </c>
      <c r="I138" s="154" t="e">
        <f ca="1">[3]!terbilang(I137)</f>
        <v>#NAME?</v>
      </c>
      <c r="J138" s="154" t="e">
        <f ca="1">[3]!terbilang(J137)</f>
        <v>#NAME?</v>
      </c>
      <c r="K138" s="154" t="e">
        <f ca="1">[3]!terbilang(K137)</f>
        <v>#NAME?</v>
      </c>
      <c r="L138" s="154" t="e">
        <f ca="1">[3]!terbilang(L137)</f>
        <v>#NAME?</v>
      </c>
      <c r="R138" s="185">
        <v>44545</v>
      </c>
      <c r="S138" s="150" t="s">
        <v>450</v>
      </c>
      <c r="T138" s="154">
        <v>21733700</v>
      </c>
      <c r="W138" s="248" t="e">
        <f ca="1">[3]!terbilang(W137)</f>
        <v>#NAME?</v>
      </c>
      <c r="X138" s="248" t="e">
        <f ca="1">[3]!terbilang(X137)</f>
        <v>#NAME?</v>
      </c>
      <c r="Y138" s="248" t="e">
        <f ca="1">[3]!terbilang(Y137)</f>
        <v>#NAME?</v>
      </c>
      <c r="Z138" s="248" t="e">
        <f ca="1">[3]!terbilang(Z137)</f>
        <v>#NAME?</v>
      </c>
      <c r="AA138" s="154"/>
      <c r="AB138" s="154"/>
      <c r="AC138" s="154"/>
      <c r="AD138" s="154">
        <v>65762290</v>
      </c>
      <c r="AE138" s="154"/>
      <c r="AF138" s="154"/>
      <c r="AG138" s="154"/>
      <c r="AH138" s="154"/>
    </row>
    <row r="139" spans="3:36">
      <c r="C139" s="150"/>
      <c r="D139" s="182" t="e">
        <f ca="1">[3]!terbilang(D138)</f>
        <v>#NAME?</v>
      </c>
      <c r="E139" s="182" t="e">
        <f ca="1">[3]!terbilang(E138)</f>
        <v>#NAME?</v>
      </c>
      <c r="F139" s="182" t="e">
        <f ca="1">[3]!terbilang(F138)</f>
        <v>#NAME?</v>
      </c>
      <c r="G139" s="182" t="e">
        <f ca="1">[3]!terbilang(G138)</f>
        <v>#NAME?</v>
      </c>
      <c r="H139" s="182" t="e">
        <f ca="1">[3]!terbilang(H138)</f>
        <v>#NAME?</v>
      </c>
      <c r="I139" s="154"/>
      <c r="J139" s="193"/>
      <c r="K139" s="193"/>
      <c r="L139" s="154"/>
      <c r="R139" s="185">
        <v>44545</v>
      </c>
      <c r="S139" s="150" t="s">
        <v>451</v>
      </c>
      <c r="T139" s="154">
        <v>12214600</v>
      </c>
      <c r="W139" s="154">
        <v>1372478101</v>
      </c>
      <c r="X139" s="154">
        <v>38404088</v>
      </c>
      <c r="Y139" s="154"/>
      <c r="Z139" s="154"/>
      <c r="AA139" s="154"/>
      <c r="AB139" s="154"/>
      <c r="AD139" s="150" t="e">
        <f ca="1">[3]!terbilang(AD138)</f>
        <v>#NAME?</v>
      </c>
      <c r="AE139" s="150" t="e">
        <f ca="1">[3]!terbilang(AE138)</f>
        <v>#NAME?</v>
      </c>
      <c r="AG139" s="154"/>
      <c r="AH139" s="154"/>
    </row>
    <row r="140" spans="3:36">
      <c r="C140" s="150"/>
      <c r="I140" s="154"/>
      <c r="J140" s="193"/>
      <c r="K140" s="193"/>
      <c r="L140" s="154"/>
      <c r="P140" s="150" t="s">
        <v>111</v>
      </c>
      <c r="R140" s="185">
        <v>44545</v>
      </c>
      <c r="S140" s="150" t="s">
        <v>452</v>
      </c>
      <c r="T140" s="154">
        <v>160718039</v>
      </c>
      <c r="U140" s="150" t="s">
        <v>459</v>
      </c>
      <c r="V140" s="185"/>
      <c r="W140" s="248" t="e">
        <f ca="1">[3]!terbilang(W139)</f>
        <v>#NAME?</v>
      </c>
      <c r="X140" s="248" t="e">
        <f ca="1">[3]!terbilang(X139)</f>
        <v>#NAME?</v>
      </c>
      <c r="Y140" s="248" t="e">
        <f ca="1">[3]!terbilang(Y139)</f>
        <v>#NAME?</v>
      </c>
      <c r="Z140" s="154"/>
      <c r="AA140" s="154"/>
      <c r="AB140" s="154"/>
      <c r="AC140" s="154"/>
      <c r="AD140" s="154">
        <v>12601000</v>
      </c>
      <c r="AE140" s="154"/>
      <c r="AF140" s="154"/>
      <c r="AG140" s="154"/>
      <c r="AH140" s="154"/>
    </row>
    <row r="141" spans="3:36">
      <c r="C141" s="150"/>
      <c r="I141" s="154"/>
      <c r="J141" s="193"/>
      <c r="K141" s="193"/>
      <c r="L141" s="154"/>
      <c r="R141" s="185">
        <v>44545</v>
      </c>
      <c r="S141" s="150" t="s">
        <v>453</v>
      </c>
      <c r="T141" s="154">
        <v>51325317</v>
      </c>
      <c r="W141" s="154">
        <v>46891157</v>
      </c>
      <c r="X141" s="154">
        <v>237004901</v>
      </c>
      <c r="Y141" s="154">
        <v>201819416</v>
      </c>
      <c r="Z141" s="154">
        <v>99900000</v>
      </c>
      <c r="AA141" s="154">
        <v>1493270207</v>
      </c>
      <c r="AB141" s="154"/>
      <c r="AD141" s="150" t="e">
        <f ca="1">[3]!terbilang(AD140)</f>
        <v>#NAME?</v>
      </c>
      <c r="AE141" s="150" t="e">
        <f ca="1">[3]!terbilang(AE140)</f>
        <v>#NAME?</v>
      </c>
      <c r="AF141" s="154"/>
      <c r="AG141" s="154"/>
      <c r="AH141" s="154"/>
    </row>
    <row r="142" spans="3:36">
      <c r="C142" s="150"/>
      <c r="D142" s="193">
        <v>939443423</v>
      </c>
      <c r="E142" s="154">
        <v>192681720</v>
      </c>
      <c r="F142" s="154">
        <v>55178815</v>
      </c>
      <c r="G142" s="154">
        <v>114078936</v>
      </c>
      <c r="I142" s="154"/>
      <c r="J142" s="193"/>
      <c r="K142" s="193"/>
      <c r="L142" s="154"/>
      <c r="R142" s="185">
        <v>44545</v>
      </c>
      <c r="S142" s="150" t="s">
        <v>454</v>
      </c>
      <c r="T142" s="154">
        <v>7076385</v>
      </c>
      <c r="W142" s="248" t="e">
        <f ca="1">[3]!terbilang(W141)</f>
        <v>#NAME?</v>
      </c>
      <c r="X142" s="248" t="e">
        <f ca="1">[3]!terbilang(X141)</f>
        <v>#NAME?</v>
      </c>
      <c r="Y142" s="248" t="e">
        <f ca="1">[3]!terbilang(Y141)</f>
        <v>#NAME?</v>
      </c>
      <c r="Z142" s="248" t="e">
        <f ca="1">[3]!terbilang(Z141)</f>
        <v>#NAME?</v>
      </c>
      <c r="AA142" s="248" t="e">
        <f ca="1">[3]!terbilang(AA141)</f>
        <v>#NAME?</v>
      </c>
      <c r="AB142" s="154"/>
      <c r="AC142" s="154"/>
      <c r="AD142" s="154">
        <v>5986700</v>
      </c>
      <c r="AE142" s="154"/>
      <c r="AF142" s="154"/>
      <c r="AG142" s="154"/>
      <c r="AH142" s="154"/>
    </row>
    <row r="143" spans="3:36">
      <c r="C143" s="150"/>
      <c r="D143" s="193" t="e">
        <f ca="1">[3]!terbilang(D142)</f>
        <v>#NAME?</v>
      </c>
      <c r="E143" s="193" t="e">
        <f ca="1">[3]!terbilang(E142)</f>
        <v>#NAME?</v>
      </c>
      <c r="F143" s="193" t="e">
        <f ca="1">[3]!terbilang(F142)</f>
        <v>#NAME?</v>
      </c>
      <c r="G143" s="193" t="e">
        <f ca="1">[3]!terbilang(G142)</f>
        <v>#NAME?</v>
      </c>
      <c r="I143" s="154"/>
      <c r="J143" s="193"/>
      <c r="K143" s="193"/>
      <c r="L143" s="154"/>
      <c r="R143" s="185">
        <v>44545</v>
      </c>
      <c r="S143" s="150" t="s">
        <v>455</v>
      </c>
      <c r="T143" s="154">
        <v>4471800</v>
      </c>
      <c r="AD143" s="150" t="e">
        <f ca="1">[3]!terbilang(AD142)</f>
        <v>#NAME?</v>
      </c>
      <c r="AE143" s="150" t="e">
        <f ca="1">[3]!terbilang(AE142)</f>
        <v>#NAME?</v>
      </c>
      <c r="AF143" s="150" t="e">
        <f ca="1">[3]!terbilang(AF142)</f>
        <v>#NAME?</v>
      </c>
      <c r="AG143" s="154"/>
      <c r="AH143" s="154"/>
    </row>
    <row r="144" spans="3:36">
      <c r="C144" s="150"/>
      <c r="D144" s="193">
        <v>58255203</v>
      </c>
      <c r="E144" s="154">
        <v>10000000</v>
      </c>
      <c r="F144" s="154"/>
      <c r="G144" s="154"/>
      <c r="I144" s="154"/>
      <c r="J144" s="193"/>
      <c r="K144" s="193"/>
      <c r="L144" s="154"/>
      <c r="R144" s="185">
        <v>44545</v>
      </c>
      <c r="S144" s="150" t="s">
        <v>456</v>
      </c>
      <c r="T144" s="154">
        <v>141582640</v>
      </c>
      <c r="U144" s="150" t="s">
        <v>459</v>
      </c>
      <c r="V144" s="185"/>
      <c r="X144" s="154"/>
      <c r="AB144" s="154"/>
      <c r="AC144" s="154"/>
      <c r="AD144" s="154">
        <v>26129304</v>
      </c>
      <c r="AE144" s="154"/>
      <c r="AF144" s="154"/>
      <c r="AG144" s="154"/>
      <c r="AH144" s="154"/>
    </row>
    <row r="145" spans="3:31">
      <c r="C145" s="150"/>
      <c r="D145" s="193" t="e">
        <f ca="1">[3]!terbilang(D144)</f>
        <v>#NAME?</v>
      </c>
      <c r="E145" s="193" t="e">
        <f ca="1">[3]!terbilang(E144)</f>
        <v>#NAME?</v>
      </c>
      <c r="F145" s="193" t="e">
        <f ca="1">[3]!terbilang(F144)</f>
        <v>#NAME?</v>
      </c>
      <c r="G145" s="193" t="e">
        <f ca="1">[3]!terbilang(G144)</f>
        <v>#NAME?</v>
      </c>
      <c r="P145" s="150" t="s">
        <v>111</v>
      </c>
      <c r="R145" s="185">
        <v>44545</v>
      </c>
      <c r="S145" s="150" t="s">
        <v>457</v>
      </c>
      <c r="T145" s="154">
        <v>45680640</v>
      </c>
      <c r="U145" s="150" t="s">
        <v>459</v>
      </c>
      <c r="V145" s="185"/>
      <c r="AD145" s="150" t="e">
        <f ca="1">[3]!terbilang(AD144)</f>
        <v>#NAME?</v>
      </c>
    </row>
    <row r="146" spans="3:31">
      <c r="C146" s="150"/>
      <c r="D146" s="193"/>
      <c r="E146" s="154"/>
      <c r="F146" s="154"/>
      <c r="G146" s="154"/>
      <c r="R146" s="185">
        <v>44545</v>
      </c>
      <c r="S146" s="150" t="s">
        <v>458</v>
      </c>
      <c r="T146" s="154">
        <v>24694295</v>
      </c>
      <c r="V146" s="185"/>
      <c r="Z146" s="154"/>
      <c r="AA146" s="154"/>
      <c r="AB146" s="154"/>
      <c r="AC146" s="154"/>
      <c r="AD146" s="154">
        <v>1560000</v>
      </c>
    </row>
    <row r="147" spans="3:31">
      <c r="C147" s="150"/>
      <c r="D147" s="193"/>
      <c r="E147" s="154"/>
      <c r="F147" s="154"/>
      <c r="G147" s="154"/>
      <c r="R147" s="185">
        <v>44545</v>
      </c>
      <c r="T147" s="154"/>
      <c r="Z147" s="154"/>
      <c r="AA147" s="154"/>
      <c r="AD147" s="150" t="e">
        <f ca="1">[3]!terbilang(AD146)</f>
        <v>#NAME?</v>
      </c>
      <c r="AE147" s="150" t="e">
        <f ca="1">[3]!terbilang(AE146)</f>
        <v>#NAME?</v>
      </c>
    </row>
    <row r="148" spans="3:31">
      <c r="C148" s="150"/>
      <c r="D148" s="193">
        <v>2144474553</v>
      </c>
      <c r="E148" s="154">
        <v>1966716170</v>
      </c>
      <c r="F148" s="154">
        <v>3931050</v>
      </c>
      <c r="G148" s="154">
        <v>32761836</v>
      </c>
      <c r="H148" s="154"/>
      <c r="T148" s="154"/>
      <c r="Z148" s="154"/>
      <c r="AA148" s="154"/>
      <c r="AB148" s="154"/>
      <c r="AC148" s="154"/>
      <c r="AD148" s="154"/>
    </row>
    <row r="149" spans="3:31">
      <c r="C149" s="150"/>
      <c r="D149" s="193" t="e">
        <f ca="1">[3]!terbilang(D148)</f>
        <v>#NAME?</v>
      </c>
      <c r="E149" s="193" t="e">
        <f ca="1">[3]!terbilang(E148)</f>
        <v>#NAME?</v>
      </c>
      <c r="F149" s="193" t="e">
        <f ca="1">[3]!terbilang(F148)</f>
        <v>#NAME?</v>
      </c>
      <c r="G149" s="193" t="e">
        <f ca="1">[3]!terbilang(G148)</f>
        <v>#NAME?</v>
      </c>
      <c r="H149" s="154"/>
      <c r="R149" s="185"/>
      <c r="AD149" s="150" t="e">
        <f ca="1">[3]!terbilang(AD146)</f>
        <v>#NAME?</v>
      </c>
    </row>
    <row r="150" spans="3:31">
      <c r="C150" s="150"/>
      <c r="D150" s="193">
        <v>12073452</v>
      </c>
      <c r="E150" s="154">
        <v>1504954251</v>
      </c>
      <c r="F150" s="154">
        <v>139136070</v>
      </c>
      <c r="G150" s="154"/>
      <c r="H150" s="154"/>
      <c r="Z150" s="154"/>
      <c r="AA150" s="154"/>
      <c r="AB150" s="154"/>
      <c r="AC150" s="154"/>
      <c r="AD150" s="154">
        <v>3387791</v>
      </c>
    </row>
    <row r="151" spans="3:31">
      <c r="C151" s="150"/>
      <c r="D151" s="193" t="e">
        <f ca="1">[3]!terbilang(D150)</f>
        <v>#NAME?</v>
      </c>
      <c r="E151" s="193" t="e">
        <f ca="1">[3]!terbilang(E150)</f>
        <v>#NAME?</v>
      </c>
      <c r="F151" s="193" t="e">
        <f ca="1">[3]!terbilang(F150)</f>
        <v>#NAME?</v>
      </c>
      <c r="G151" s="193" t="e">
        <f ca="1">[3]!terbilang(G150)</f>
        <v>#NAME?</v>
      </c>
      <c r="H151" s="154"/>
      <c r="AD151" s="150" t="e">
        <f ca="1">[3]!terbilang(AD150)</f>
        <v>#NAME?</v>
      </c>
    </row>
    <row r="152" spans="3:31">
      <c r="C152" s="150"/>
      <c r="D152" s="193"/>
      <c r="E152" s="154"/>
      <c r="F152" s="154"/>
      <c r="G152" s="154"/>
      <c r="H152" s="154"/>
      <c r="Z152" s="154"/>
      <c r="AA152" s="154"/>
      <c r="AB152" s="154"/>
      <c r="AC152" s="154"/>
      <c r="AD152" s="154"/>
    </row>
    <row r="153" spans="3:31">
      <c r="C153" s="150"/>
      <c r="D153" s="193">
        <v>149006930</v>
      </c>
      <c r="E153" s="154">
        <v>656030128</v>
      </c>
      <c r="F153" s="154">
        <v>271337138</v>
      </c>
      <c r="G153" s="154">
        <v>209561520</v>
      </c>
      <c r="H153" s="154"/>
      <c r="AB153" s="154"/>
      <c r="AC153" s="154"/>
      <c r="AD153" s="154"/>
    </row>
    <row r="154" spans="3:31">
      <c r="C154" s="150"/>
      <c r="D154" s="193" t="e">
        <f ca="1">[3]!terbilang(D153)</f>
        <v>#NAME?</v>
      </c>
      <c r="E154" s="193" t="e">
        <f ca="1">[3]!terbilang(E153)</f>
        <v>#NAME?</v>
      </c>
      <c r="F154" s="193" t="e">
        <f ca="1">[3]!terbilang(F153)</f>
        <v>#NAME?</v>
      </c>
      <c r="G154" s="193" t="e">
        <f ca="1">[3]!terbilang(G153)</f>
        <v>#NAME?</v>
      </c>
      <c r="H154" s="154"/>
      <c r="J154" s="150"/>
      <c r="K154" s="150"/>
      <c r="Z154" s="154"/>
      <c r="AA154" s="154"/>
      <c r="AB154" s="154"/>
      <c r="AC154" s="154"/>
      <c r="AD154" s="154"/>
    </row>
    <row r="155" spans="3:31">
      <c r="C155" s="150"/>
      <c r="D155" s="154"/>
      <c r="E155" s="154"/>
      <c r="F155" s="154"/>
      <c r="G155" s="154"/>
      <c r="H155" s="154"/>
      <c r="J155" s="150"/>
      <c r="K155" s="150"/>
      <c r="Z155" s="154"/>
      <c r="AA155" s="154"/>
      <c r="AB155" s="154"/>
      <c r="AC155" s="154"/>
      <c r="AD155" s="154"/>
    </row>
    <row r="156" spans="3:31">
      <c r="C156" s="150"/>
      <c r="D156" s="154">
        <v>10443516</v>
      </c>
      <c r="E156" s="154">
        <v>15131857</v>
      </c>
      <c r="F156" s="154">
        <v>10474202</v>
      </c>
      <c r="G156" s="154">
        <v>18875614</v>
      </c>
      <c r="H156" s="154"/>
      <c r="J156" s="150"/>
      <c r="K156" s="150"/>
      <c r="Z156" s="154"/>
      <c r="AA156" s="154"/>
      <c r="AB156" s="154"/>
      <c r="AC156" s="154"/>
      <c r="AD156" s="154"/>
    </row>
    <row r="157" spans="3:31">
      <c r="C157" s="150"/>
      <c r="D157" s="193" t="e">
        <f ca="1">[3]!terbilang(D156)</f>
        <v>#NAME?</v>
      </c>
      <c r="E157" s="193" t="e">
        <f ca="1">[3]!terbilang(E156)</f>
        <v>#NAME?</v>
      </c>
      <c r="F157" s="193" t="e">
        <f ca="1">[3]!terbilang(F156)</f>
        <v>#NAME?</v>
      </c>
      <c r="G157" s="193" t="e">
        <f ca="1">[3]!terbilang(G156)</f>
        <v>#NAME?</v>
      </c>
      <c r="H157" s="154"/>
      <c r="J157" s="150"/>
      <c r="K157" s="150"/>
      <c r="Z157" s="154"/>
      <c r="AA157" s="154"/>
      <c r="AB157" s="154"/>
      <c r="AC157" s="154"/>
      <c r="AD157" s="154">
        <v>1870843551</v>
      </c>
      <c r="AE157" s="154"/>
    </row>
    <row r="158" spans="3:31">
      <c r="C158" s="150"/>
      <c r="D158" s="154">
        <v>24224143</v>
      </c>
      <c r="E158" s="154">
        <v>16709820</v>
      </c>
      <c r="F158" s="154">
        <v>20336279</v>
      </c>
      <c r="G158" s="154">
        <v>12627395</v>
      </c>
      <c r="H158" s="154"/>
      <c r="J158" s="150"/>
      <c r="K158" s="150"/>
      <c r="AA158" s="154"/>
      <c r="AB158" s="154"/>
      <c r="AC158" s="154"/>
      <c r="AD158" s="154" t="e">
        <f ca="1">[3]!terbilang(AD157)</f>
        <v>#NAME?</v>
      </c>
      <c r="AE158" s="154"/>
    </row>
    <row r="159" spans="3:31">
      <c r="C159" s="150"/>
      <c r="D159" s="193" t="e">
        <f ca="1">[3]!terbilang(D158)</f>
        <v>#NAME?</v>
      </c>
      <c r="E159" s="193" t="e">
        <f ca="1">[3]!terbilang(E158)</f>
        <v>#NAME?</v>
      </c>
      <c r="F159" s="193" t="e">
        <f ca="1">[3]!terbilang(F158)</f>
        <v>#NAME?</v>
      </c>
      <c r="G159" s="193" t="e">
        <f ca="1">[3]!terbilang(G158)</f>
        <v>#NAME?</v>
      </c>
      <c r="H159" s="154"/>
      <c r="J159" s="150"/>
      <c r="K159" s="150"/>
      <c r="AA159" s="154"/>
      <c r="AB159" s="154"/>
      <c r="AC159" s="154"/>
      <c r="AD159" s="154"/>
      <c r="AE159" s="154"/>
    </row>
    <row r="160" spans="3:31">
      <c r="C160" s="150"/>
      <c r="D160" s="154">
        <v>73114441</v>
      </c>
      <c r="E160" s="154">
        <v>32492912</v>
      </c>
      <c r="F160" s="154">
        <v>19555989</v>
      </c>
      <c r="G160" s="154">
        <v>20193423</v>
      </c>
      <c r="H160" s="154"/>
      <c r="J160" s="150"/>
      <c r="K160" s="150"/>
      <c r="AA160" s="154"/>
      <c r="AB160" s="154"/>
      <c r="AC160" s="154"/>
      <c r="AD160" s="154" t="e">
        <f ca="1">[3]!terbilang(AD159)</f>
        <v>#NAME?</v>
      </c>
      <c r="AE160" s="154"/>
    </row>
    <row r="161" spans="3:31">
      <c r="C161" s="150"/>
      <c r="D161" s="193" t="e">
        <f ca="1">[3]!terbilang(D160)</f>
        <v>#NAME?</v>
      </c>
      <c r="E161" s="193" t="e">
        <f ca="1">[3]!terbilang(E160)</f>
        <v>#NAME?</v>
      </c>
      <c r="F161" s="193" t="e">
        <f ca="1">[3]!terbilang(F160)</f>
        <v>#NAME?</v>
      </c>
      <c r="G161" s="193" t="e">
        <f ca="1">[3]!terbilang(G160)</f>
        <v>#NAME?</v>
      </c>
      <c r="H161" s="154"/>
      <c r="J161" s="150"/>
      <c r="K161" s="150"/>
      <c r="AA161" s="154"/>
      <c r="AB161" s="154"/>
      <c r="AC161" s="154"/>
      <c r="AD161" s="154"/>
      <c r="AE161" s="154"/>
    </row>
    <row r="162" spans="3:31">
      <c r="D162" s="193">
        <v>3335000</v>
      </c>
      <c r="E162" s="154"/>
      <c r="F162" s="154"/>
      <c r="G162" s="154"/>
      <c r="H162" s="154"/>
    </row>
    <row r="163" spans="3:31">
      <c r="D163" s="193" t="e">
        <f ca="1">[3]!terbilang(D162)</f>
        <v>#NAME?</v>
      </c>
      <c r="E163" s="154"/>
      <c r="F163" s="154"/>
      <c r="G163" s="154"/>
      <c r="H163" s="154"/>
    </row>
    <row r="164" spans="3:31">
      <c r="C164" s="150"/>
      <c r="D164" s="154"/>
      <c r="E164" s="154"/>
      <c r="F164" s="154"/>
      <c r="G164" s="154"/>
      <c r="H164" s="154"/>
      <c r="J164" s="150"/>
      <c r="K164" s="150"/>
      <c r="X164" s="154"/>
      <c r="Y164" s="154"/>
      <c r="Z164" s="154"/>
      <c r="AA164" s="154"/>
      <c r="AB164" s="154"/>
      <c r="AC164" s="154"/>
    </row>
    <row r="165" spans="3:31">
      <c r="C165" s="150"/>
      <c r="D165" s="150"/>
      <c r="J165" s="150"/>
      <c r="K165" s="150"/>
      <c r="X165" s="154"/>
      <c r="Y165" s="154"/>
      <c r="Z165" s="154"/>
      <c r="AA165" s="154"/>
      <c r="AB165" s="154"/>
      <c r="AC165" s="154"/>
    </row>
    <row r="166" spans="3:31">
      <c r="C166" s="150"/>
      <c r="D166" s="154">
        <v>638678126</v>
      </c>
      <c r="E166" s="154">
        <v>3805457</v>
      </c>
      <c r="F166" s="154">
        <v>4437985041</v>
      </c>
      <c r="G166" s="154">
        <v>28008089</v>
      </c>
      <c r="H166" s="154">
        <v>465040456</v>
      </c>
      <c r="J166" s="150"/>
      <c r="K166" s="150"/>
      <c r="X166" s="154"/>
      <c r="Y166" s="154"/>
      <c r="Z166" s="154"/>
      <c r="AA166" s="154"/>
      <c r="AB166" s="154"/>
      <c r="AC166" s="154"/>
    </row>
    <row r="167" spans="3:31">
      <c r="C167" s="150"/>
      <c r="D167" s="193" t="e">
        <f ca="1">[3]!terbilang(D166)</f>
        <v>#NAME?</v>
      </c>
      <c r="E167" s="193" t="e">
        <f ca="1">[3]!terbilang(E166)</f>
        <v>#NAME?</v>
      </c>
      <c r="F167" s="193" t="e">
        <f ca="1">[3]!terbilang(F166)</f>
        <v>#NAME?</v>
      </c>
      <c r="G167" s="193" t="e">
        <f ca="1">[3]!terbilang(G166)</f>
        <v>#NAME?</v>
      </c>
      <c r="H167" s="193" t="e">
        <f ca="1">[3]!terbilang(H166)</f>
        <v>#NAME?</v>
      </c>
      <c r="J167" s="150"/>
      <c r="K167" s="150"/>
      <c r="X167" s="154"/>
      <c r="Y167" s="154"/>
      <c r="Z167" s="154"/>
      <c r="AA167" s="154"/>
      <c r="AB167" s="154"/>
      <c r="AC167" s="154"/>
    </row>
    <row r="168" spans="3:31">
      <c r="C168" s="150"/>
      <c r="D168" s="150"/>
      <c r="J168" s="150"/>
      <c r="K168" s="150"/>
      <c r="X168" s="154"/>
      <c r="Y168" s="154"/>
      <c r="Z168" s="154"/>
      <c r="AA168" s="154"/>
      <c r="AB168" s="154"/>
      <c r="AC168" s="154"/>
    </row>
    <row r="169" spans="3:31">
      <c r="C169" s="150"/>
      <c r="D169" s="150"/>
      <c r="J169" s="150"/>
      <c r="K169" s="150"/>
      <c r="X169" s="154"/>
      <c r="Y169" s="154"/>
      <c r="Z169" s="154"/>
      <c r="AA169" s="154"/>
      <c r="AB169" s="154"/>
      <c r="AC169" s="154"/>
    </row>
    <row r="170" spans="3:31">
      <c r="C170" s="150"/>
      <c r="D170" s="150"/>
      <c r="E170" s="245">
        <f>C170+D170</f>
        <v>0</v>
      </c>
      <c r="F170" s="241">
        <v>151858375</v>
      </c>
      <c r="J170" s="150"/>
      <c r="K170" s="150"/>
      <c r="X170" s="154"/>
      <c r="Y170" s="154"/>
      <c r="Z170" s="154"/>
      <c r="AA170" s="154"/>
      <c r="AB170" s="154"/>
      <c r="AC170" s="154"/>
    </row>
    <row r="171" spans="3:31">
      <c r="C171" s="150"/>
      <c r="D171" s="150"/>
      <c r="E171" s="245">
        <f t="shared" ref="E171:E188" si="9">C171+D171</f>
        <v>0</v>
      </c>
      <c r="F171" s="241">
        <v>151858375</v>
      </c>
      <c r="J171" s="150"/>
      <c r="K171" s="150"/>
      <c r="X171" s="154"/>
      <c r="Y171" s="154"/>
      <c r="Z171" s="154"/>
      <c r="AA171" s="154"/>
      <c r="AB171" s="154"/>
      <c r="AC171" s="154"/>
    </row>
    <row r="172" spans="3:31">
      <c r="C172" s="150"/>
      <c r="D172" s="150"/>
      <c r="E172" s="245">
        <f t="shared" si="9"/>
        <v>0</v>
      </c>
      <c r="F172" s="241">
        <v>15635402</v>
      </c>
      <c r="J172" s="150"/>
      <c r="K172" s="150"/>
      <c r="X172" s="154"/>
      <c r="Y172" s="154"/>
      <c r="Z172" s="154"/>
      <c r="AA172" s="154"/>
      <c r="AB172" s="154"/>
      <c r="AC172" s="154"/>
    </row>
    <row r="173" spans="3:31">
      <c r="C173" s="150"/>
      <c r="D173" s="150"/>
      <c r="E173" s="245">
        <f t="shared" si="9"/>
        <v>0</v>
      </c>
      <c r="F173" s="241">
        <v>417819202</v>
      </c>
      <c r="J173" s="150"/>
      <c r="K173" s="150"/>
      <c r="X173" s="154"/>
      <c r="Y173" s="154"/>
      <c r="Z173" s="154"/>
      <c r="AA173" s="154"/>
      <c r="AB173" s="154"/>
      <c r="AC173" s="154"/>
    </row>
    <row r="174" spans="3:31">
      <c r="E174" s="245">
        <f t="shared" si="9"/>
        <v>0</v>
      </c>
      <c r="F174" s="241">
        <v>8266215</v>
      </c>
    </row>
    <row r="175" spans="3:31">
      <c r="E175" s="245">
        <f t="shared" si="9"/>
        <v>0</v>
      </c>
      <c r="F175" s="241">
        <v>8266215</v>
      </c>
    </row>
    <row r="176" spans="3:31">
      <c r="E176" s="245">
        <f t="shared" si="9"/>
        <v>0</v>
      </c>
      <c r="F176" s="242">
        <v>42795328</v>
      </c>
    </row>
    <row r="177" spans="5:6" s="150" customFormat="1">
      <c r="E177" s="245">
        <f t="shared" si="9"/>
        <v>0</v>
      </c>
      <c r="F177" s="241">
        <v>26265232</v>
      </c>
    </row>
    <row r="178" spans="5:6" s="150" customFormat="1">
      <c r="E178" s="245">
        <f t="shared" si="9"/>
        <v>0</v>
      </c>
      <c r="F178" s="242">
        <v>26265232</v>
      </c>
    </row>
    <row r="179" spans="5:6" s="150" customFormat="1">
      <c r="E179" s="245">
        <f t="shared" si="9"/>
        <v>0</v>
      </c>
      <c r="F179" s="242">
        <v>199624868</v>
      </c>
    </row>
    <row r="180" spans="5:6" s="150" customFormat="1">
      <c r="E180" s="245">
        <f t="shared" si="9"/>
        <v>0</v>
      </c>
      <c r="F180" s="241">
        <v>19684245</v>
      </c>
    </row>
    <row r="181" spans="5:6" s="150" customFormat="1">
      <c r="E181" s="245">
        <f t="shared" si="9"/>
        <v>0</v>
      </c>
      <c r="F181" s="241">
        <v>77905425</v>
      </c>
    </row>
    <row r="182" spans="5:6" s="150" customFormat="1">
      <c r="E182" s="245">
        <f t="shared" si="9"/>
        <v>0</v>
      </c>
      <c r="F182" s="241">
        <v>4441476</v>
      </c>
    </row>
    <row r="183" spans="5:6" s="150" customFormat="1">
      <c r="E183" s="245">
        <f t="shared" si="9"/>
        <v>0</v>
      </c>
      <c r="F183" s="241">
        <v>4266433</v>
      </c>
    </row>
    <row r="184" spans="5:6" s="150" customFormat="1">
      <c r="E184" s="245">
        <f t="shared" si="9"/>
        <v>0</v>
      </c>
      <c r="F184" s="241">
        <v>852429</v>
      </c>
    </row>
    <row r="185" spans="5:6" s="150" customFormat="1">
      <c r="E185" s="245">
        <f t="shared" si="9"/>
        <v>0</v>
      </c>
      <c r="F185" s="241">
        <v>852429</v>
      </c>
    </row>
    <row r="186" spans="5:6" s="150" customFormat="1">
      <c r="E186" s="245">
        <f t="shared" si="9"/>
        <v>0</v>
      </c>
      <c r="F186" s="242">
        <v>112121856</v>
      </c>
    </row>
    <row r="187" spans="5:6" s="150" customFormat="1">
      <c r="E187" s="245">
        <f t="shared" si="9"/>
        <v>0</v>
      </c>
      <c r="F187" s="241">
        <v>95897725</v>
      </c>
    </row>
    <row r="188" spans="5:6" s="150" customFormat="1">
      <c r="E188" s="245">
        <f t="shared" si="9"/>
        <v>0</v>
      </c>
      <c r="F188" s="242">
        <v>611033945</v>
      </c>
    </row>
    <row r="189" spans="5:6" s="150" customFormat="1">
      <c r="F189" s="243"/>
    </row>
  </sheetData>
  <mergeCells count="8">
    <mergeCell ref="P120:S120"/>
    <mergeCell ref="C4:AG4"/>
    <mergeCell ref="A100:B100"/>
    <mergeCell ref="W113:Z113"/>
    <mergeCell ref="P109:T109"/>
    <mergeCell ref="P110:T110"/>
    <mergeCell ref="AD107:AE107"/>
    <mergeCell ref="AF108:AG108"/>
  </mergeCells>
  <pageMargins left="0.7" right="0.7" top="0.75" bottom="0.75" header="0.3" footer="0.3"/>
  <pageSetup paperSize="9" scale="18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94"/>
  <sheetViews>
    <sheetView topLeftCell="A10" zoomScale="60" zoomScaleNormal="60" workbookViewId="0">
      <pane xSplit="1" topLeftCell="X1" activePane="topRight" state="frozen"/>
      <selection activeCell="A40" sqref="A40"/>
      <selection pane="topRight" activeCell="AH31" sqref="AH31:AH34"/>
    </sheetView>
  </sheetViews>
  <sheetFormatPr defaultRowHeight="15.75"/>
  <cols>
    <col min="1" max="1" width="38.28515625" style="150" customWidth="1"/>
    <col min="2" max="2" width="6" style="150" customWidth="1"/>
    <col min="3" max="3" width="19.85546875" style="182" hidden="1" customWidth="1"/>
    <col min="4" max="4" width="18.7109375" style="182" hidden="1" customWidth="1"/>
    <col min="5" max="5" width="21.28515625" style="150" hidden="1" customWidth="1"/>
    <col min="6" max="6" width="29.42578125" style="150" hidden="1" customWidth="1"/>
    <col min="7" max="7" width="18.42578125" style="150" hidden="1" customWidth="1"/>
    <col min="8" max="8" width="22.140625" style="150" hidden="1" customWidth="1"/>
    <col min="9" max="9" width="21.42578125" style="150" hidden="1" customWidth="1"/>
    <col min="10" max="10" width="22.140625" style="182" hidden="1" customWidth="1"/>
    <col min="11" max="11" width="21" style="182" hidden="1" customWidth="1"/>
    <col min="12" max="12" width="24.140625" style="150" hidden="1" customWidth="1"/>
    <col min="13" max="13" width="19" style="150" hidden="1" customWidth="1"/>
    <col min="14" max="14" width="19.42578125" style="150" hidden="1" customWidth="1"/>
    <col min="15" max="15" width="18.28515625" style="150" hidden="1" customWidth="1"/>
    <col min="16" max="16" width="19.85546875" style="150" hidden="1" customWidth="1"/>
    <col min="17" max="17" width="18.85546875" style="150" hidden="1" customWidth="1"/>
    <col min="18" max="18" width="20" style="150" hidden="1" customWidth="1"/>
    <col min="19" max="19" width="21.5703125" style="150" hidden="1" customWidth="1"/>
    <col min="20" max="20" width="23.28515625" style="150" hidden="1" customWidth="1"/>
    <col min="21" max="21" width="19.5703125" style="150" hidden="1" customWidth="1"/>
    <col min="22" max="22" width="19.42578125" style="150" customWidth="1"/>
    <col min="23" max="23" width="28.28515625" style="150" customWidth="1"/>
    <col min="24" max="25" width="20.7109375" style="150" customWidth="1"/>
    <col min="26" max="26" width="22.42578125" style="150" customWidth="1"/>
    <col min="27" max="27" width="21.7109375" style="150" customWidth="1"/>
    <col min="28" max="28" width="20.28515625" style="150" customWidth="1"/>
    <col min="29" max="29" width="18.5703125" style="150" customWidth="1"/>
    <col min="30" max="30" width="21.7109375" style="150" customWidth="1"/>
    <col min="31" max="31" width="22" style="150" customWidth="1"/>
    <col min="32" max="32" width="19" style="150" customWidth="1"/>
    <col min="33" max="34" width="21.7109375" style="150" customWidth="1"/>
    <col min="35" max="35" width="20.28515625" style="150" customWidth="1"/>
    <col min="36" max="36" width="18.140625" style="150" customWidth="1"/>
    <col min="37" max="37" width="12.85546875" style="150" customWidth="1"/>
    <col min="38" max="38" width="19.140625" style="150" customWidth="1"/>
    <col min="39" max="16384" width="9.140625" style="150"/>
  </cols>
  <sheetData>
    <row r="1" spans="1:36">
      <c r="A1" s="147" t="s">
        <v>0</v>
      </c>
      <c r="B1" s="148"/>
      <c r="C1" s="149"/>
      <c r="D1" s="149"/>
      <c r="E1" s="148"/>
      <c r="F1" s="148"/>
      <c r="G1" s="148"/>
      <c r="H1" s="148"/>
      <c r="I1" s="148"/>
      <c r="J1" s="149"/>
      <c r="K1" s="149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</row>
    <row r="2" spans="1:36" s="154" customFormat="1">
      <c r="A2" s="151" t="s">
        <v>1</v>
      </c>
      <c r="B2" s="152"/>
      <c r="C2" s="153"/>
      <c r="D2" s="153"/>
      <c r="E2" s="152"/>
      <c r="F2" s="152"/>
      <c r="G2" s="152"/>
      <c r="H2" s="152"/>
      <c r="I2" s="152"/>
      <c r="J2" s="153"/>
      <c r="K2" s="153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</row>
    <row r="3" spans="1:36">
      <c r="A3" s="155" t="s">
        <v>2</v>
      </c>
      <c r="B3" s="156">
        <v>44531</v>
      </c>
      <c r="C3" s="153"/>
      <c r="D3" s="153"/>
      <c r="E3" s="152"/>
      <c r="F3" s="152"/>
      <c r="G3" s="152"/>
      <c r="H3" s="152"/>
      <c r="I3" s="152"/>
      <c r="J3" s="153"/>
      <c r="K3" s="153"/>
      <c r="L3" s="152"/>
      <c r="M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</row>
    <row r="4" spans="1:36">
      <c r="A4" s="157" t="s">
        <v>3</v>
      </c>
      <c r="B4" s="158" t="s">
        <v>4</v>
      </c>
      <c r="C4" s="390" t="s">
        <v>5</v>
      </c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2"/>
      <c r="AH4" s="257"/>
      <c r="AI4" s="159" t="s">
        <v>6</v>
      </c>
      <c r="AJ4" s="154"/>
    </row>
    <row r="5" spans="1:36">
      <c r="A5" s="157"/>
      <c r="B5" s="158"/>
      <c r="C5" s="160">
        <v>336</v>
      </c>
      <c r="D5" s="160">
        <v>337</v>
      </c>
      <c r="E5" s="160">
        <v>338</v>
      </c>
      <c r="F5" s="160">
        <v>339</v>
      </c>
      <c r="G5" s="160">
        <v>340</v>
      </c>
      <c r="H5" s="160">
        <v>341</v>
      </c>
      <c r="I5" s="160">
        <v>342</v>
      </c>
      <c r="J5" s="160">
        <v>343</v>
      </c>
      <c r="K5" s="160">
        <v>344</v>
      </c>
      <c r="L5" s="160">
        <v>345</v>
      </c>
      <c r="M5" s="160">
        <v>346</v>
      </c>
      <c r="N5" s="160">
        <v>347</v>
      </c>
      <c r="O5" s="160">
        <v>348</v>
      </c>
      <c r="P5" s="160">
        <v>349</v>
      </c>
      <c r="Q5" s="160">
        <v>350</v>
      </c>
      <c r="R5" s="160">
        <v>351</v>
      </c>
      <c r="S5" s="160">
        <v>352</v>
      </c>
      <c r="T5" s="160">
        <v>353</v>
      </c>
      <c r="U5" s="160">
        <v>354</v>
      </c>
      <c r="V5" s="160">
        <v>355</v>
      </c>
      <c r="W5" s="160">
        <v>356</v>
      </c>
      <c r="X5" s="160">
        <v>357</v>
      </c>
      <c r="Y5" s="160">
        <v>358</v>
      </c>
      <c r="Z5" s="160">
        <v>359</v>
      </c>
      <c r="AA5" s="160">
        <v>360</v>
      </c>
      <c r="AB5" s="160">
        <v>361</v>
      </c>
      <c r="AC5" s="160">
        <v>362</v>
      </c>
      <c r="AD5" s="160">
        <v>363</v>
      </c>
      <c r="AE5" s="160">
        <v>364</v>
      </c>
      <c r="AF5" s="160">
        <v>365</v>
      </c>
      <c r="AG5" s="160">
        <v>366</v>
      </c>
      <c r="AH5" s="160"/>
      <c r="AI5" s="159"/>
      <c r="AJ5" s="154"/>
    </row>
    <row r="6" spans="1:36">
      <c r="A6" s="161" t="s">
        <v>7</v>
      </c>
      <c r="B6" s="162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8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3"/>
      <c r="AJ6" s="173"/>
    </row>
    <row r="7" spans="1:36">
      <c r="A7" s="258" t="s">
        <v>492</v>
      </c>
      <c r="B7" s="162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8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3"/>
      <c r="AJ7" s="173"/>
    </row>
    <row r="8" spans="1:36">
      <c r="A8" s="166" t="s">
        <v>356</v>
      </c>
      <c r="B8" s="191"/>
      <c r="C8" s="163"/>
      <c r="D8" s="164"/>
      <c r="E8" s="164"/>
      <c r="F8" s="163"/>
      <c r="G8" s="163"/>
      <c r="H8" s="239"/>
      <c r="I8" s="163"/>
      <c r="J8" s="163"/>
      <c r="K8" s="164"/>
      <c r="L8" s="164"/>
      <c r="M8" s="164"/>
      <c r="N8" s="164"/>
      <c r="O8" s="164"/>
      <c r="P8" s="163"/>
      <c r="Q8" s="164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5">
        <f t="shared" ref="AI8:AI25" si="0">SUM(C8:AG8)</f>
        <v>0</v>
      </c>
      <c r="AJ8" s="154"/>
    </row>
    <row r="9" spans="1:36">
      <c r="A9" s="166" t="s">
        <v>480</v>
      </c>
      <c r="B9" s="191"/>
      <c r="C9" s="167"/>
      <c r="D9" s="167"/>
      <c r="E9" s="168"/>
      <c r="F9" s="168">
        <v>121912643</v>
      </c>
      <c r="G9" s="167"/>
      <c r="H9" s="171"/>
      <c r="I9" s="171">
        <v>90132075</v>
      </c>
      <c r="J9" s="170"/>
      <c r="K9" s="172"/>
      <c r="L9" s="172"/>
      <c r="M9" s="175"/>
      <c r="N9" s="175"/>
      <c r="O9" s="172"/>
      <c r="P9" s="175"/>
      <c r="Q9" s="175"/>
      <c r="R9" s="168"/>
      <c r="S9" s="170"/>
      <c r="T9" s="168">
        <v>168164602</v>
      </c>
      <c r="U9" s="168"/>
      <c r="V9" s="168"/>
      <c r="W9" s="168"/>
      <c r="X9" s="168"/>
      <c r="Y9" s="168"/>
      <c r="Z9" s="168"/>
      <c r="AA9" s="168"/>
      <c r="AB9" s="168"/>
      <c r="AC9" s="168"/>
      <c r="AD9" s="167"/>
      <c r="AE9" s="168"/>
      <c r="AF9" s="167"/>
      <c r="AG9" s="168"/>
      <c r="AH9" s="167"/>
      <c r="AI9" s="165">
        <f t="shared" si="0"/>
        <v>380209320</v>
      </c>
      <c r="AJ9" s="173"/>
    </row>
    <row r="10" spans="1:36">
      <c r="A10" s="166" t="s">
        <v>527</v>
      </c>
      <c r="B10" s="191"/>
      <c r="C10" s="167"/>
      <c r="D10" s="167"/>
      <c r="E10" s="168">
        <v>97846397</v>
      </c>
      <c r="F10" s="233"/>
      <c r="G10" s="167"/>
      <c r="H10" s="171"/>
      <c r="I10" s="170"/>
      <c r="J10" s="170" t="s">
        <v>477</v>
      </c>
      <c r="K10" s="172" t="s">
        <v>478</v>
      </c>
      <c r="L10" s="172" t="s">
        <v>478</v>
      </c>
      <c r="M10" s="175"/>
      <c r="N10" s="175"/>
      <c r="O10" s="175"/>
      <c r="P10" s="175"/>
      <c r="Q10" s="175"/>
      <c r="R10" s="168"/>
      <c r="S10" s="170"/>
      <c r="T10" s="175"/>
      <c r="U10" s="168"/>
      <c r="V10" s="175">
        <v>307623565</v>
      </c>
      <c r="W10" s="167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5"/>
      <c r="AJ10" s="173"/>
    </row>
    <row r="11" spans="1:36">
      <c r="A11" s="166" t="s">
        <v>10</v>
      </c>
      <c r="B11" s="191"/>
      <c r="C11" s="167"/>
      <c r="D11" s="167"/>
      <c r="E11" s="168"/>
      <c r="F11" s="233"/>
      <c r="G11" s="167"/>
      <c r="H11" s="172"/>
      <c r="I11" s="168"/>
      <c r="J11" s="168"/>
      <c r="K11" s="172"/>
      <c r="L11" s="172"/>
      <c r="M11" s="175"/>
      <c r="N11" s="175"/>
      <c r="O11" s="172"/>
      <c r="P11" s="175"/>
      <c r="Q11" s="175"/>
      <c r="R11" s="175"/>
      <c r="S11" s="175"/>
      <c r="T11" s="167"/>
      <c r="U11" s="168"/>
      <c r="V11" s="168"/>
      <c r="W11" s="167"/>
      <c r="X11" s="168"/>
      <c r="Y11" s="168"/>
      <c r="Z11" s="168"/>
      <c r="AA11" s="168"/>
      <c r="AB11" s="168"/>
      <c r="AC11" s="168"/>
      <c r="AD11" s="167"/>
      <c r="AE11" s="168"/>
      <c r="AF11" s="167"/>
      <c r="AG11" s="167"/>
      <c r="AH11" s="167"/>
      <c r="AI11" s="165">
        <f t="shared" si="0"/>
        <v>0</v>
      </c>
      <c r="AJ11" s="173"/>
    </row>
    <row r="12" spans="1:36">
      <c r="A12" s="166" t="s">
        <v>205</v>
      </c>
      <c r="B12" s="191"/>
      <c r="C12" s="175"/>
      <c r="D12" s="175"/>
      <c r="E12" s="172"/>
      <c r="F12" s="175"/>
      <c r="G12" s="175"/>
      <c r="H12" s="175"/>
      <c r="I12" s="175"/>
      <c r="J12" s="175"/>
      <c r="K12" s="175"/>
      <c r="L12" s="175"/>
      <c r="M12" s="175"/>
      <c r="N12" s="175"/>
      <c r="O12" s="172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253">
        <v>21000000</v>
      </c>
      <c r="AI12" s="165">
        <f t="shared" si="0"/>
        <v>0</v>
      </c>
      <c r="AJ12" s="234"/>
    </row>
    <row r="13" spans="1:36">
      <c r="A13" s="166" t="s">
        <v>206</v>
      </c>
      <c r="B13" s="191"/>
      <c r="C13" s="175"/>
      <c r="D13" s="175"/>
      <c r="E13" s="172"/>
      <c r="F13" s="175"/>
      <c r="G13" s="175"/>
      <c r="H13" s="175"/>
      <c r="I13" s="175"/>
      <c r="J13" s="175"/>
      <c r="K13" s="175"/>
      <c r="L13" s="175"/>
      <c r="M13" s="175"/>
      <c r="N13" s="175"/>
      <c r="O13" s="172"/>
      <c r="P13" s="172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253">
        <v>14000000</v>
      </c>
      <c r="AI13" s="165">
        <f t="shared" si="0"/>
        <v>0</v>
      </c>
      <c r="AJ13" s="234">
        <f>SUM(AI12:AI13)</f>
        <v>0</v>
      </c>
    </row>
    <row r="14" spans="1:36">
      <c r="A14" s="166" t="s">
        <v>377</v>
      </c>
      <c r="B14" s="191"/>
      <c r="C14" s="175"/>
      <c r="D14" s="175"/>
      <c r="E14" s="172"/>
      <c r="F14" s="175"/>
      <c r="G14" s="175"/>
      <c r="H14" s="175"/>
      <c r="I14" s="175"/>
      <c r="J14" s="175"/>
      <c r="K14" s="175"/>
      <c r="L14" s="175"/>
      <c r="M14" s="175"/>
      <c r="N14" s="175"/>
      <c r="O14" s="172"/>
      <c r="P14" s="172">
        <v>302157571</v>
      </c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65">
        <f t="shared" si="0"/>
        <v>302157571</v>
      </c>
      <c r="AJ14" s="234"/>
    </row>
    <row r="15" spans="1:36">
      <c r="A15" s="166" t="s">
        <v>261</v>
      </c>
      <c r="B15" s="191"/>
      <c r="C15" s="175"/>
      <c r="D15" s="175"/>
      <c r="E15" s="175"/>
      <c r="F15" s="175"/>
      <c r="G15" s="175"/>
      <c r="H15" s="172"/>
      <c r="I15" s="175"/>
      <c r="J15" s="175"/>
      <c r="K15" s="175"/>
      <c r="L15" s="175"/>
      <c r="M15" s="175"/>
      <c r="N15" s="175"/>
      <c r="O15" s="172"/>
      <c r="P15" s="172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65">
        <f t="shared" si="0"/>
        <v>0</v>
      </c>
      <c r="AJ15" s="234"/>
    </row>
    <row r="16" spans="1:36">
      <c r="A16" s="166" t="s">
        <v>479</v>
      </c>
      <c r="B16" s="191"/>
      <c r="C16" s="175"/>
      <c r="D16" s="175"/>
      <c r="E16" s="175"/>
      <c r="F16" s="172">
        <v>832863457</v>
      </c>
      <c r="G16" s="175"/>
      <c r="H16" s="175"/>
      <c r="I16" s="175"/>
      <c r="J16" s="175"/>
      <c r="K16" s="175"/>
      <c r="L16" s="175"/>
      <c r="M16" s="175"/>
      <c r="N16" s="175"/>
      <c r="O16" s="172"/>
      <c r="P16" s="172">
        <v>586584565</v>
      </c>
      <c r="Q16" s="175"/>
      <c r="R16" s="175"/>
      <c r="S16" s="175"/>
      <c r="T16" s="175"/>
      <c r="U16" s="175"/>
      <c r="V16" s="172">
        <v>412078153</v>
      </c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69"/>
      <c r="AI16" s="165"/>
      <c r="AJ16" s="234"/>
    </row>
    <row r="17" spans="1:38">
      <c r="A17" s="166" t="s">
        <v>17</v>
      </c>
      <c r="B17" s="191"/>
      <c r="C17" s="175"/>
      <c r="D17" s="175"/>
      <c r="E17" s="175"/>
      <c r="F17" s="172"/>
      <c r="G17" s="175"/>
      <c r="H17" s="175"/>
      <c r="I17" s="175"/>
      <c r="J17" s="175"/>
      <c r="K17" s="175"/>
      <c r="L17" s="175"/>
      <c r="M17" s="175"/>
      <c r="N17" s="175"/>
      <c r="O17" s="172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65">
        <f t="shared" si="0"/>
        <v>0</v>
      </c>
      <c r="AJ17" s="234"/>
    </row>
    <row r="18" spans="1:38">
      <c r="A18" s="166" t="s">
        <v>18</v>
      </c>
      <c r="B18" s="191"/>
      <c r="C18" s="167"/>
      <c r="D18" s="167"/>
      <c r="E18" s="167"/>
      <c r="F18" s="167"/>
      <c r="G18" s="167"/>
      <c r="H18" s="175"/>
      <c r="I18" s="167"/>
      <c r="J18" s="167"/>
      <c r="K18" s="167"/>
      <c r="L18" s="167"/>
      <c r="M18" s="167"/>
      <c r="N18" s="167"/>
      <c r="O18" s="168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5">
        <f t="shared" si="0"/>
        <v>0</v>
      </c>
      <c r="AJ18" s="233"/>
    </row>
    <row r="19" spans="1:38">
      <c r="A19" s="166" t="s">
        <v>19</v>
      </c>
      <c r="B19" s="191"/>
      <c r="C19" s="167"/>
      <c r="D19" s="167"/>
      <c r="E19" s="167"/>
      <c r="F19" s="167"/>
      <c r="G19" s="167"/>
      <c r="H19" s="175"/>
      <c r="I19" s="167"/>
      <c r="J19" s="167"/>
      <c r="K19" s="167"/>
      <c r="L19" s="167"/>
      <c r="M19" s="167"/>
      <c r="N19" s="167"/>
      <c r="O19" s="168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5">
        <f t="shared" si="0"/>
        <v>0</v>
      </c>
      <c r="AJ19" s="233"/>
    </row>
    <row r="20" spans="1:38">
      <c r="A20" s="166" t="s">
        <v>528</v>
      </c>
      <c r="B20" s="191"/>
      <c r="C20" s="167"/>
      <c r="D20" s="167"/>
      <c r="E20" s="167"/>
      <c r="F20" s="168">
        <v>946526898</v>
      </c>
      <c r="G20" s="167"/>
      <c r="H20" s="175"/>
      <c r="I20" s="167"/>
      <c r="J20" s="167"/>
      <c r="K20" s="167"/>
      <c r="L20" s="167"/>
      <c r="M20" s="167"/>
      <c r="N20" s="167"/>
      <c r="O20" s="167"/>
      <c r="P20" s="168">
        <f>120380522</f>
        <v>120380522</v>
      </c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72"/>
      <c r="AC20" s="167"/>
      <c r="AD20" s="167"/>
      <c r="AE20" s="167"/>
      <c r="AF20" s="167"/>
      <c r="AG20" s="167"/>
      <c r="AH20" s="254"/>
      <c r="AI20" s="165"/>
      <c r="AJ20" s="233"/>
    </row>
    <row r="21" spans="1:38">
      <c r="A21" s="166" t="s">
        <v>530</v>
      </c>
      <c r="B21" s="191"/>
      <c r="C21" s="167"/>
      <c r="D21" s="167"/>
      <c r="E21" s="167"/>
      <c r="F21" s="168"/>
      <c r="G21" s="167"/>
      <c r="H21" s="175"/>
      <c r="I21" s="167"/>
      <c r="J21" s="167"/>
      <c r="K21" s="167"/>
      <c r="L21" s="167"/>
      <c r="M21" s="167"/>
      <c r="N21" s="167"/>
      <c r="O21" s="168">
        <v>19640428</v>
      </c>
      <c r="P21" s="167"/>
      <c r="Q21" s="167"/>
      <c r="R21" s="167"/>
      <c r="S21" s="168">
        <v>210466616</v>
      </c>
      <c r="T21" s="167"/>
      <c r="U21" s="167"/>
      <c r="V21" s="167"/>
      <c r="W21" s="167"/>
      <c r="X21" s="167"/>
      <c r="Y21" s="167"/>
      <c r="Z21" s="167"/>
      <c r="AA21" s="167"/>
      <c r="AB21" s="172"/>
      <c r="AC21" s="167"/>
      <c r="AD21" s="167"/>
      <c r="AE21" s="167"/>
      <c r="AF21" s="167"/>
      <c r="AG21" s="167"/>
      <c r="AH21" s="254"/>
      <c r="AI21" s="165"/>
      <c r="AJ21" s="233"/>
    </row>
    <row r="22" spans="1:38">
      <c r="A22" s="166" t="s">
        <v>43</v>
      </c>
      <c r="B22" s="191"/>
      <c r="C22" s="168"/>
      <c r="D22" s="168"/>
      <c r="E22" s="168"/>
      <c r="F22" s="168"/>
      <c r="G22" s="167"/>
      <c r="H22" s="172"/>
      <c r="I22" s="172"/>
      <c r="J22" s="168"/>
      <c r="K22" s="168"/>
      <c r="L22" s="172"/>
      <c r="M22" s="168"/>
      <c r="N22" s="168"/>
      <c r="O22" s="167"/>
      <c r="P22" s="168"/>
      <c r="Q22" s="168"/>
      <c r="R22" s="170"/>
      <c r="S22" s="168"/>
      <c r="T22" s="168"/>
      <c r="U22" s="172"/>
      <c r="V22" s="172"/>
      <c r="W22" s="168"/>
      <c r="X22" s="168"/>
      <c r="Y22" s="168"/>
      <c r="Z22" s="168"/>
      <c r="AA22" s="168"/>
      <c r="AB22" s="172"/>
      <c r="AC22" s="168"/>
      <c r="AD22" s="168"/>
      <c r="AE22" s="168"/>
      <c r="AF22" s="168"/>
      <c r="AG22" s="168"/>
      <c r="AH22" s="168"/>
      <c r="AI22" s="165">
        <f t="shared" si="0"/>
        <v>0</v>
      </c>
      <c r="AJ22" s="233"/>
    </row>
    <row r="23" spans="1:38">
      <c r="A23" s="166" t="s">
        <v>318</v>
      </c>
      <c r="B23" s="191"/>
      <c r="C23" s="170"/>
      <c r="D23" s="170"/>
      <c r="E23" s="170"/>
      <c r="F23" s="170"/>
      <c r="G23" s="167"/>
      <c r="H23" s="172"/>
      <c r="I23" s="171">
        <f>236910127-185600692</f>
        <v>51309435</v>
      </c>
      <c r="J23" s="170"/>
      <c r="K23" s="170"/>
      <c r="L23" s="171">
        <f>67719073-1067732-29949836</f>
        <v>36701505</v>
      </c>
      <c r="M23" s="170"/>
      <c r="N23" s="170"/>
      <c r="O23" s="168"/>
      <c r="P23" s="170"/>
      <c r="Q23" s="170"/>
      <c r="R23" s="167"/>
      <c r="S23" s="171">
        <f>157496882</f>
        <v>157496882</v>
      </c>
      <c r="T23" s="170"/>
      <c r="U23" s="175"/>
      <c r="V23" s="175"/>
      <c r="W23" s="170"/>
      <c r="X23" s="170"/>
      <c r="Y23" s="170"/>
      <c r="Z23" s="170"/>
      <c r="AA23" s="170"/>
      <c r="AB23" s="172"/>
      <c r="AC23" s="170"/>
      <c r="AD23" s="171"/>
      <c r="AE23" s="170"/>
      <c r="AF23" s="170"/>
      <c r="AG23" s="170"/>
      <c r="AH23" s="170"/>
      <c r="AI23" s="165">
        <f t="shared" si="0"/>
        <v>245507822</v>
      </c>
      <c r="AJ23" s="233"/>
    </row>
    <row r="24" spans="1:38">
      <c r="A24" s="166" t="s">
        <v>447</v>
      </c>
      <c r="B24" s="191"/>
      <c r="C24" s="170"/>
      <c r="D24" s="170"/>
      <c r="E24" s="170"/>
      <c r="F24" s="170"/>
      <c r="G24" s="167"/>
      <c r="H24" s="172"/>
      <c r="I24" s="171"/>
      <c r="J24" s="170"/>
      <c r="K24" s="170"/>
      <c r="L24" s="171"/>
      <c r="M24" s="170"/>
      <c r="N24" s="177"/>
      <c r="O24" s="168"/>
      <c r="P24" s="170"/>
      <c r="Q24" s="170"/>
      <c r="R24" s="167"/>
      <c r="S24" s="171"/>
      <c r="T24" s="170"/>
      <c r="U24" s="175"/>
      <c r="V24" s="175"/>
      <c r="W24" s="170"/>
      <c r="X24" s="170"/>
      <c r="Y24" s="170"/>
      <c r="Z24" s="170"/>
      <c r="AA24" s="170"/>
      <c r="AB24" s="172"/>
      <c r="AC24" s="170"/>
      <c r="AD24" s="170"/>
      <c r="AE24" s="170"/>
      <c r="AF24" s="170"/>
      <c r="AG24" s="170"/>
      <c r="AH24" s="170"/>
      <c r="AI24" s="165"/>
      <c r="AJ24" s="233"/>
    </row>
    <row r="25" spans="1:38">
      <c r="A25" s="166" t="s">
        <v>348</v>
      </c>
      <c r="B25" s="191"/>
      <c r="C25" s="167"/>
      <c r="D25" s="167"/>
      <c r="E25" s="167"/>
      <c r="F25" s="167"/>
      <c r="G25" s="171"/>
      <c r="H25" s="172"/>
      <c r="I25" s="175"/>
      <c r="J25" s="167"/>
      <c r="K25" s="167"/>
      <c r="L25" s="167"/>
      <c r="M25" s="167"/>
      <c r="N25" s="168">
        <v>13056862</v>
      </c>
      <c r="O25" s="177"/>
      <c r="P25" s="167"/>
      <c r="Q25" s="167"/>
      <c r="R25" s="168"/>
      <c r="S25" s="175"/>
      <c r="T25" s="167"/>
      <c r="U25" s="172"/>
      <c r="V25" s="172"/>
      <c r="W25" s="167"/>
      <c r="X25" s="168"/>
      <c r="Y25" s="167"/>
      <c r="Z25" s="167"/>
      <c r="AA25" s="167"/>
      <c r="AB25" s="172"/>
      <c r="AC25" s="167"/>
      <c r="AD25" s="167"/>
      <c r="AE25" s="167"/>
      <c r="AF25" s="167"/>
      <c r="AG25" s="167"/>
      <c r="AH25" s="167"/>
      <c r="AI25" s="165">
        <f t="shared" si="0"/>
        <v>13056862</v>
      </c>
      <c r="AJ25" s="235"/>
    </row>
    <row r="26" spans="1:38">
      <c r="A26" s="166" t="s">
        <v>354</v>
      </c>
      <c r="B26" s="191"/>
      <c r="C26" s="167"/>
      <c r="D26" s="168"/>
      <c r="E26" s="168"/>
      <c r="F26" s="167"/>
      <c r="G26" s="172"/>
      <c r="H26" s="171"/>
      <c r="I26" s="167"/>
      <c r="J26" s="167"/>
      <c r="K26" s="167"/>
      <c r="L26" s="167"/>
      <c r="M26" s="167"/>
      <c r="N26" s="168">
        <f>7247090-5867506</f>
        <v>1379584</v>
      </c>
      <c r="O26" s="177"/>
      <c r="P26" s="167"/>
      <c r="Q26" s="167"/>
      <c r="R26" s="168"/>
      <c r="S26" s="175"/>
      <c r="T26" s="167"/>
      <c r="U26" s="168"/>
      <c r="V26" s="168"/>
      <c r="W26" s="167"/>
      <c r="X26" s="167"/>
      <c r="Y26" s="167"/>
      <c r="Z26" s="168"/>
      <c r="AA26" s="167"/>
      <c r="AB26" s="168"/>
      <c r="AC26" s="167"/>
      <c r="AD26" s="167"/>
      <c r="AE26" s="167"/>
      <c r="AF26" s="168"/>
      <c r="AG26" s="167"/>
      <c r="AH26" s="167"/>
      <c r="AI26" s="165"/>
      <c r="AJ26" s="235"/>
    </row>
    <row r="27" spans="1:38">
      <c r="A27" s="166" t="s">
        <v>350</v>
      </c>
      <c r="B27" s="191"/>
      <c r="C27" s="168"/>
      <c r="D27" s="168"/>
      <c r="E27" s="168"/>
      <c r="F27" s="168"/>
      <c r="G27" s="168"/>
      <c r="H27" s="175"/>
      <c r="I27" s="168"/>
      <c r="J27" s="168"/>
      <c r="K27" s="168"/>
      <c r="L27" s="168"/>
      <c r="M27" s="168"/>
      <c r="N27" s="168"/>
      <c r="O27" s="177"/>
      <c r="P27" s="168"/>
      <c r="Q27" s="168"/>
      <c r="R27" s="170"/>
      <c r="S27" s="168"/>
      <c r="T27" s="168"/>
      <c r="U27" s="170"/>
      <c r="V27" s="170"/>
      <c r="W27" s="168"/>
      <c r="X27" s="168"/>
      <c r="Y27" s="168"/>
      <c r="Z27" s="168"/>
      <c r="AA27" s="168"/>
      <c r="AB27" s="170"/>
      <c r="AC27" s="168"/>
      <c r="AD27" s="168"/>
      <c r="AE27" s="168"/>
      <c r="AF27" s="168"/>
      <c r="AG27" s="168"/>
      <c r="AH27" s="168"/>
      <c r="AI27" s="165">
        <f t="shared" ref="AI27:AI52" si="1">SUM(C27:AG27)</f>
        <v>0</v>
      </c>
      <c r="AJ27" s="235"/>
    </row>
    <row r="28" spans="1:38">
      <c r="A28" s="166" t="s">
        <v>494</v>
      </c>
      <c r="B28" s="191"/>
      <c r="C28" s="168"/>
      <c r="D28" s="168"/>
      <c r="E28" s="168"/>
      <c r="F28" s="168"/>
      <c r="G28" s="168">
        <v>43053981</v>
      </c>
      <c r="H28" s="175"/>
      <c r="I28" s="168"/>
      <c r="J28" s="168"/>
      <c r="K28" s="168"/>
      <c r="L28" s="168"/>
      <c r="M28" s="168"/>
      <c r="N28" s="168"/>
      <c r="O28" s="177"/>
      <c r="P28" s="168"/>
      <c r="Q28" s="168"/>
      <c r="R28" s="170"/>
      <c r="S28" s="168"/>
      <c r="T28" s="168"/>
      <c r="U28" s="170"/>
      <c r="V28" s="170"/>
      <c r="W28" s="168"/>
      <c r="X28" s="168"/>
      <c r="Y28" s="168"/>
      <c r="Z28" s="168"/>
      <c r="AA28" s="168"/>
      <c r="AB28" s="170"/>
      <c r="AC28" s="168"/>
      <c r="AD28" s="168"/>
      <c r="AE28" s="168"/>
      <c r="AF28" s="168"/>
      <c r="AG28" s="168"/>
      <c r="AH28" s="168"/>
      <c r="AI28" s="165"/>
      <c r="AJ28" s="235"/>
    </row>
    <row r="29" spans="1:38">
      <c r="A29" s="166" t="s">
        <v>194</v>
      </c>
      <c r="B29" s="191"/>
      <c r="C29" s="175"/>
      <c r="D29" s="175"/>
      <c r="E29" s="175"/>
      <c r="F29" s="175"/>
      <c r="G29" s="172"/>
      <c r="H29" s="175"/>
      <c r="I29" s="175"/>
      <c r="J29" s="175"/>
      <c r="K29" s="175"/>
      <c r="L29" s="175"/>
      <c r="M29" s="175"/>
      <c r="N29" s="172"/>
      <c r="O29" s="172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253">
        <v>296293200</v>
      </c>
      <c r="AI29" s="165">
        <f t="shared" si="1"/>
        <v>0</v>
      </c>
      <c r="AJ29" s="234"/>
    </row>
    <row r="30" spans="1:38">
      <c r="A30" s="166" t="s">
        <v>192</v>
      </c>
      <c r="B30" s="191"/>
      <c r="C30" s="175"/>
      <c r="D30" s="175"/>
      <c r="E30" s="175"/>
      <c r="F30" s="175"/>
      <c r="G30" s="172"/>
      <c r="H30" s="175"/>
      <c r="I30" s="175"/>
      <c r="J30" s="175"/>
      <c r="K30" s="175"/>
      <c r="L30" s="175"/>
      <c r="M30" s="175"/>
      <c r="N30" s="175"/>
      <c r="O30" s="172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253">
        <v>296293200</v>
      </c>
      <c r="AI30" s="165">
        <f t="shared" si="1"/>
        <v>0</v>
      </c>
      <c r="AJ30" s="234">
        <f>SUM(AI29:AI30)</f>
        <v>0</v>
      </c>
    </row>
    <row r="31" spans="1:38">
      <c r="A31" s="166" t="s">
        <v>326</v>
      </c>
      <c r="B31" s="191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2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253">
        <v>103374298</v>
      </c>
      <c r="AI31" s="165">
        <f t="shared" si="1"/>
        <v>0</v>
      </c>
      <c r="AJ31" s="234"/>
      <c r="AK31" s="184"/>
      <c r="AL31" s="186">
        <f>6325269+60889034</f>
        <v>67214303</v>
      </c>
    </row>
    <row r="32" spans="1:38">
      <c r="A32" s="187" t="s">
        <v>327</v>
      </c>
      <c r="B32" s="191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2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253">
        <v>61709422</v>
      </c>
      <c r="AI32" s="165">
        <f t="shared" si="1"/>
        <v>0</v>
      </c>
      <c r="AJ32" s="234"/>
      <c r="AK32" s="184"/>
      <c r="AL32" s="186"/>
    </row>
    <row r="33" spans="1:38">
      <c r="A33" s="187" t="s">
        <v>328</v>
      </c>
      <c r="B33" s="191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2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253">
        <v>349578345</v>
      </c>
      <c r="AI33" s="165">
        <f t="shared" si="1"/>
        <v>0</v>
      </c>
      <c r="AJ33" s="234"/>
      <c r="AK33" s="184"/>
      <c r="AL33" s="185"/>
    </row>
    <row r="34" spans="1:38">
      <c r="A34" s="187" t="s">
        <v>330</v>
      </c>
      <c r="B34" s="191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2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253">
        <v>416002400</v>
      </c>
      <c r="AI34" s="165">
        <f t="shared" si="1"/>
        <v>0</v>
      </c>
      <c r="AJ34" s="234">
        <f>SUM(AI31:AI34)</f>
        <v>0</v>
      </c>
      <c r="AK34" s="184"/>
      <c r="AL34" s="185"/>
    </row>
    <row r="35" spans="1:38">
      <c r="A35" s="166" t="s">
        <v>24</v>
      </c>
      <c r="B35" s="191"/>
      <c r="C35" s="175"/>
      <c r="D35" s="175"/>
      <c r="E35" s="175"/>
      <c r="F35" s="175"/>
      <c r="G35" s="170"/>
      <c r="H35" s="171"/>
      <c r="I35" s="175"/>
      <c r="J35" s="175"/>
      <c r="K35" s="175"/>
      <c r="L35" s="172"/>
      <c r="M35" s="175"/>
      <c r="N35" s="175"/>
      <c r="O35" s="172">
        <f>7000280-3435984</f>
        <v>3564296</v>
      </c>
      <c r="P35" s="175"/>
      <c r="Q35" s="175"/>
      <c r="R35" s="170"/>
      <c r="S35" s="175"/>
      <c r="T35" s="175"/>
      <c r="U35" s="170"/>
      <c r="V35" s="170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65">
        <f t="shared" si="1"/>
        <v>3564296</v>
      </c>
      <c r="AJ35" s="235"/>
      <c r="AK35" s="189"/>
    </row>
    <row r="36" spans="1:38">
      <c r="A36" s="166" t="s">
        <v>529</v>
      </c>
      <c r="B36" s="191"/>
      <c r="C36" s="175"/>
      <c r="D36" s="175"/>
      <c r="E36" s="175"/>
      <c r="F36" s="175"/>
      <c r="G36" s="175"/>
      <c r="H36" s="175"/>
      <c r="I36" s="175"/>
      <c r="J36" s="175"/>
      <c r="K36" s="175"/>
      <c r="L36" s="172"/>
      <c r="M36" s="175"/>
      <c r="N36" s="175"/>
      <c r="O36" s="175"/>
      <c r="P36" s="175"/>
      <c r="Q36" s="175"/>
      <c r="R36" s="175"/>
      <c r="S36" s="175"/>
      <c r="T36" s="175"/>
      <c r="U36" s="175"/>
      <c r="V36" s="175">
        <v>2068418559</v>
      </c>
      <c r="W36" s="175"/>
      <c r="X36" s="172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65">
        <f t="shared" si="1"/>
        <v>2068418559</v>
      </c>
      <c r="AJ36" s="234"/>
      <c r="AK36" s="189"/>
    </row>
    <row r="37" spans="1:38">
      <c r="A37" s="166" t="s">
        <v>493</v>
      </c>
      <c r="B37" s="191"/>
      <c r="C37" s="175"/>
      <c r="D37" s="175"/>
      <c r="E37" s="175"/>
      <c r="F37" s="175"/>
      <c r="G37" s="175"/>
      <c r="H37" s="175"/>
      <c r="I37" s="175"/>
      <c r="J37" s="175"/>
      <c r="K37" s="175"/>
      <c r="L37" s="172"/>
      <c r="M37" s="175"/>
      <c r="N37" s="175"/>
      <c r="O37" s="172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2"/>
      <c r="AE37" s="175"/>
      <c r="AF37" s="175"/>
      <c r="AG37" s="175"/>
      <c r="AH37" s="175"/>
      <c r="AI37" s="165"/>
      <c r="AJ37" s="234"/>
      <c r="AK37" s="189"/>
    </row>
    <row r="38" spans="1:38">
      <c r="A38" s="166" t="s">
        <v>333</v>
      </c>
      <c r="B38" s="191"/>
      <c r="C38" s="167"/>
      <c r="D38" s="167"/>
      <c r="E38" s="167"/>
      <c r="F38" s="167"/>
      <c r="G38" s="167"/>
      <c r="H38" s="175"/>
      <c r="I38" s="167"/>
      <c r="J38" s="167"/>
      <c r="K38" s="167"/>
      <c r="L38" s="168"/>
      <c r="M38" s="167"/>
      <c r="N38" s="167"/>
      <c r="O38" s="168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254">
        <v>61003007</v>
      </c>
      <c r="AI38" s="165">
        <f t="shared" si="1"/>
        <v>0</v>
      </c>
      <c r="AJ38" s="233"/>
    </row>
    <row r="39" spans="1:38">
      <c r="A39" s="166" t="s">
        <v>334</v>
      </c>
      <c r="B39" s="191"/>
      <c r="C39" s="167"/>
      <c r="D39" s="167"/>
      <c r="E39" s="167"/>
      <c r="F39" s="167"/>
      <c r="G39" s="167"/>
      <c r="H39" s="175"/>
      <c r="I39" s="167"/>
      <c r="J39" s="167"/>
      <c r="K39" s="167"/>
      <c r="L39" s="167"/>
      <c r="M39" s="167"/>
      <c r="N39" s="167"/>
      <c r="O39" s="168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254">
        <f>127319117+12869993</f>
        <v>140189110</v>
      </c>
      <c r="AI39" s="165">
        <f t="shared" si="1"/>
        <v>0</v>
      </c>
      <c r="AJ39" s="233"/>
    </row>
    <row r="40" spans="1:38">
      <c r="A40" s="166" t="s">
        <v>335</v>
      </c>
      <c r="B40" s="191"/>
      <c r="C40" s="167"/>
      <c r="D40" s="167"/>
      <c r="E40" s="167"/>
      <c r="F40" s="167"/>
      <c r="G40" s="167"/>
      <c r="H40" s="175"/>
      <c r="I40" s="168"/>
      <c r="J40" s="167"/>
      <c r="K40" s="167"/>
      <c r="L40" s="167"/>
      <c r="M40" s="167"/>
      <c r="N40" s="167"/>
      <c r="O40" s="168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254">
        <v>149745116</v>
      </c>
      <c r="AI40" s="165">
        <f t="shared" si="1"/>
        <v>0</v>
      </c>
      <c r="AJ40" s="233"/>
      <c r="AK40" s="189"/>
    </row>
    <row r="41" spans="1:38">
      <c r="A41" s="166" t="s">
        <v>336</v>
      </c>
      <c r="B41" s="191"/>
      <c r="C41" s="167"/>
      <c r="D41" s="167"/>
      <c r="E41" s="167"/>
      <c r="F41" s="167"/>
      <c r="G41" s="167"/>
      <c r="H41" s="175"/>
      <c r="I41" s="168"/>
      <c r="J41" s="167"/>
      <c r="K41" s="168"/>
      <c r="L41" s="168"/>
      <c r="M41" s="167"/>
      <c r="N41" s="167"/>
      <c r="O41" s="168"/>
      <c r="P41" s="168"/>
      <c r="Q41" s="167"/>
      <c r="R41" s="168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254">
        <f>16444991+3574998+10724994</f>
        <v>30744983</v>
      </c>
      <c r="AI41" s="165">
        <f t="shared" si="1"/>
        <v>0</v>
      </c>
      <c r="AJ41" s="233">
        <f>SUM(AI38:AI41)</f>
        <v>0</v>
      </c>
    </row>
    <row r="42" spans="1:38">
      <c r="A42" s="166" t="s">
        <v>337</v>
      </c>
      <c r="B42" s="191"/>
      <c r="C42" s="168"/>
      <c r="D42" s="167"/>
      <c r="E42" s="167"/>
      <c r="F42" s="167"/>
      <c r="G42" s="167"/>
      <c r="H42" s="175"/>
      <c r="I42" s="168">
        <f>144118800-2882376</f>
        <v>141236424</v>
      </c>
      <c r="J42" s="167"/>
      <c r="K42" s="168"/>
      <c r="L42" s="168"/>
      <c r="M42" s="167"/>
      <c r="N42" s="167"/>
      <c r="O42" s="168"/>
      <c r="P42" s="168">
        <f>243458460-4869169</f>
        <v>238589291</v>
      </c>
      <c r="Q42" s="167"/>
      <c r="R42" s="168"/>
      <c r="S42" s="167"/>
      <c r="T42" s="167"/>
      <c r="U42" s="168"/>
      <c r="V42" s="167"/>
      <c r="W42" s="167"/>
      <c r="X42" s="168"/>
      <c r="Y42" s="167"/>
      <c r="Z42" s="168"/>
      <c r="AA42" s="168"/>
      <c r="AB42" s="167"/>
      <c r="AC42" s="167"/>
      <c r="AD42" s="168"/>
      <c r="AE42" s="168"/>
      <c r="AF42" s="167"/>
      <c r="AG42" s="167"/>
      <c r="AH42" s="167"/>
      <c r="AI42" s="165">
        <f t="shared" si="1"/>
        <v>379825715</v>
      </c>
      <c r="AJ42" s="233"/>
    </row>
    <row r="43" spans="1:38">
      <c r="A43" s="166" t="s">
        <v>27</v>
      </c>
      <c r="B43" s="191"/>
      <c r="C43" s="168"/>
      <c r="D43" s="168"/>
      <c r="E43" s="168"/>
      <c r="F43" s="168"/>
      <c r="G43" s="172">
        <v>108525000</v>
      </c>
      <c r="H43" s="172"/>
      <c r="I43" s="168"/>
      <c r="J43" s="168"/>
      <c r="K43" s="168"/>
      <c r="L43" s="168"/>
      <c r="M43" s="168"/>
      <c r="N43" s="168"/>
      <c r="O43" s="168"/>
      <c r="P43" s="168"/>
      <c r="Q43" s="167"/>
      <c r="R43" s="168"/>
      <c r="S43" s="167"/>
      <c r="T43" s="167"/>
      <c r="U43" s="167"/>
      <c r="V43" s="167"/>
      <c r="W43" s="167"/>
      <c r="X43" s="167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5">
        <f t="shared" si="1"/>
        <v>108525000</v>
      </c>
      <c r="AJ43" s="233"/>
    </row>
    <row r="44" spans="1:38">
      <c r="A44" s="187" t="s">
        <v>422</v>
      </c>
      <c r="B44" s="191"/>
      <c r="C44" s="167"/>
      <c r="D44" s="167"/>
      <c r="E44" s="167"/>
      <c r="F44" s="167"/>
      <c r="G44" s="167"/>
      <c r="H44" s="175"/>
      <c r="I44" s="168"/>
      <c r="J44" s="167"/>
      <c r="K44" s="168"/>
      <c r="L44" s="168"/>
      <c r="M44" s="167"/>
      <c r="N44" s="167"/>
      <c r="O44" s="168"/>
      <c r="P44" s="168"/>
      <c r="Q44" s="167"/>
      <c r="R44" s="168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5">
        <f t="shared" si="1"/>
        <v>0</v>
      </c>
      <c r="AJ44" s="233"/>
    </row>
    <row r="45" spans="1:38">
      <c r="A45" s="187" t="s">
        <v>423</v>
      </c>
      <c r="B45" s="191"/>
      <c r="C45" s="167"/>
      <c r="D45" s="167"/>
      <c r="E45" s="167"/>
      <c r="F45" s="167"/>
      <c r="G45" s="167"/>
      <c r="H45" s="175"/>
      <c r="I45" s="168"/>
      <c r="J45" s="167"/>
      <c r="K45" s="167"/>
      <c r="L45" s="167"/>
      <c r="M45" s="167"/>
      <c r="N45" s="167"/>
      <c r="O45" s="168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5">
        <f t="shared" si="1"/>
        <v>0</v>
      </c>
      <c r="AJ45" s="233"/>
    </row>
    <row r="46" spans="1:38">
      <c r="A46" s="187" t="s">
        <v>424</v>
      </c>
      <c r="B46" s="191"/>
      <c r="C46" s="167"/>
      <c r="D46" s="167"/>
      <c r="E46" s="167"/>
      <c r="F46" s="167"/>
      <c r="G46" s="167"/>
      <c r="H46" s="175"/>
      <c r="I46" s="167"/>
      <c r="J46" s="167"/>
      <c r="K46" s="167"/>
      <c r="L46" s="175"/>
      <c r="M46" s="167"/>
      <c r="N46" s="167"/>
      <c r="O46" s="168"/>
      <c r="P46" s="167"/>
      <c r="Q46" s="167"/>
      <c r="R46" s="167"/>
      <c r="S46" s="167"/>
      <c r="T46" s="167"/>
      <c r="U46" s="167"/>
      <c r="V46" s="168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5">
        <f t="shared" si="1"/>
        <v>0</v>
      </c>
      <c r="AJ46" s="233"/>
    </row>
    <row r="47" spans="1:38">
      <c r="A47" s="166" t="s">
        <v>30</v>
      </c>
      <c r="B47" s="191"/>
      <c r="C47" s="170"/>
      <c r="D47" s="170"/>
      <c r="E47" s="170"/>
      <c r="F47" s="170"/>
      <c r="G47" s="170"/>
      <c r="H47" s="171"/>
      <c r="I47" s="170"/>
      <c r="J47" s="170"/>
      <c r="K47" s="170"/>
      <c r="L47" s="171"/>
      <c r="M47" s="170"/>
      <c r="N47" s="170"/>
      <c r="O47" s="177"/>
      <c r="P47" s="170"/>
      <c r="Q47" s="170"/>
      <c r="R47" s="170"/>
      <c r="S47" s="170"/>
      <c r="T47" s="170"/>
      <c r="U47" s="167"/>
      <c r="V47" s="168"/>
      <c r="W47" s="171"/>
      <c r="X47" s="171"/>
      <c r="Y47" s="167"/>
      <c r="Z47" s="172"/>
      <c r="AA47" s="168"/>
      <c r="AB47" s="167"/>
      <c r="AC47" s="167"/>
      <c r="AD47" s="168"/>
      <c r="AE47" s="168"/>
      <c r="AF47" s="167"/>
      <c r="AG47" s="170"/>
      <c r="AH47" s="170"/>
      <c r="AI47" s="165">
        <f t="shared" si="1"/>
        <v>0</v>
      </c>
      <c r="AJ47" s="170"/>
    </row>
    <row r="48" spans="1:38">
      <c r="A48" s="166" t="s">
        <v>347</v>
      </c>
      <c r="B48" s="191"/>
      <c r="C48" s="170"/>
      <c r="D48" s="170"/>
      <c r="E48" s="170"/>
      <c r="F48" s="170"/>
      <c r="G48" s="170"/>
      <c r="H48" s="171"/>
      <c r="I48" s="170"/>
      <c r="J48" s="170"/>
      <c r="K48" s="170"/>
      <c r="L48" s="171">
        <v>81647775</v>
      </c>
      <c r="M48" s="170"/>
      <c r="N48" s="170"/>
      <c r="O48" s="177"/>
      <c r="P48" s="170"/>
      <c r="Q48" s="170"/>
      <c r="R48" s="170"/>
      <c r="S48" s="170"/>
      <c r="T48" s="170"/>
      <c r="U48" s="168"/>
      <c r="V48" s="168"/>
      <c r="W48" s="170"/>
      <c r="X48" s="170"/>
      <c r="Y48" s="167"/>
      <c r="Z48" s="167"/>
      <c r="AA48" s="168"/>
      <c r="AB48" s="167"/>
      <c r="AC48" s="167"/>
      <c r="AD48" s="168"/>
      <c r="AE48" s="168"/>
      <c r="AF48" s="167"/>
      <c r="AG48" s="170"/>
      <c r="AH48" s="170"/>
      <c r="AI48" s="165">
        <f t="shared" si="1"/>
        <v>81647775</v>
      </c>
      <c r="AJ48" s="170"/>
    </row>
    <row r="49" spans="1:38">
      <c r="A49" s="192" t="s">
        <v>476</v>
      </c>
      <c r="B49" s="191"/>
      <c r="C49" s="168"/>
      <c r="D49" s="168"/>
      <c r="E49" s="168"/>
      <c r="F49" s="168"/>
      <c r="G49" s="171"/>
      <c r="H49" s="171"/>
      <c r="I49" s="168"/>
      <c r="J49" s="168"/>
      <c r="K49" s="168"/>
      <c r="L49" s="172"/>
      <c r="M49" s="168"/>
      <c r="N49" s="168"/>
      <c r="O49" s="168"/>
      <c r="P49" s="168"/>
      <c r="Q49" s="168"/>
      <c r="R49" s="170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5">
        <f t="shared" si="1"/>
        <v>0</v>
      </c>
      <c r="AJ49" s="167"/>
    </row>
    <row r="50" spans="1:38">
      <c r="A50" s="192" t="s">
        <v>47</v>
      </c>
      <c r="B50" s="191"/>
      <c r="C50" s="168"/>
      <c r="D50" s="168"/>
      <c r="E50" s="168"/>
      <c r="F50" s="168"/>
      <c r="G50" s="168"/>
      <c r="H50" s="172"/>
      <c r="I50" s="168"/>
      <c r="J50" s="168"/>
      <c r="K50" s="168"/>
      <c r="L50" s="175"/>
      <c r="M50" s="168"/>
      <c r="N50" s="175"/>
      <c r="O50" s="175"/>
      <c r="P50" s="175"/>
      <c r="Q50" s="167"/>
      <c r="R50" s="170"/>
      <c r="S50" s="175"/>
      <c r="T50" s="172">
        <v>595314905</v>
      </c>
      <c r="U50" s="168"/>
      <c r="V50" s="168">
        <f>7500000+91000000</f>
        <v>98500000</v>
      </c>
      <c r="W50" s="167"/>
      <c r="X50" s="167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5">
        <f t="shared" si="1"/>
        <v>693814905</v>
      </c>
      <c r="AJ50" s="167"/>
    </row>
    <row r="51" spans="1:38">
      <c r="A51" s="192" t="s">
        <v>213</v>
      </c>
      <c r="B51" s="191"/>
      <c r="C51" s="168"/>
      <c r="D51" s="168"/>
      <c r="E51" s="168"/>
      <c r="F51" s="168"/>
      <c r="G51" s="168"/>
      <c r="H51" s="172"/>
      <c r="I51" s="168">
        <v>500000000</v>
      </c>
      <c r="J51" s="168"/>
      <c r="K51" s="168"/>
      <c r="L51" s="172"/>
      <c r="M51" s="168"/>
      <c r="N51" s="168"/>
      <c r="O51" s="168"/>
      <c r="P51" s="168">
        <v>750000000</v>
      </c>
      <c r="Q51" s="168"/>
      <c r="R51" s="171"/>
      <c r="S51" s="168"/>
      <c r="T51" s="168"/>
      <c r="U51" s="171"/>
      <c r="V51" s="171">
        <v>2000000000</v>
      </c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5">
        <f t="shared" si="1"/>
        <v>3250000000</v>
      </c>
      <c r="AJ51" s="167"/>
    </row>
    <row r="52" spans="1:38">
      <c r="A52" s="192" t="s">
        <v>119</v>
      </c>
      <c r="B52" s="191"/>
      <c r="C52" s="175"/>
      <c r="D52" s="175"/>
      <c r="E52" s="175"/>
      <c r="F52" s="175"/>
      <c r="G52" s="175"/>
      <c r="H52" s="172"/>
      <c r="I52" s="175">
        <v>3500000000</v>
      </c>
      <c r="J52" s="172"/>
      <c r="K52" s="240"/>
      <c r="L52" s="240"/>
      <c r="M52" s="175"/>
      <c r="N52" s="240"/>
      <c r="O52" s="240"/>
      <c r="P52" s="240"/>
      <c r="Q52" s="175"/>
      <c r="R52" s="175"/>
      <c r="S52" s="240"/>
      <c r="T52" s="240"/>
      <c r="U52" s="175"/>
      <c r="V52" s="240">
        <v>3500000000</v>
      </c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>
        <v>3500000000</v>
      </c>
      <c r="AH52" s="175"/>
      <c r="AI52" s="165">
        <f t="shared" si="1"/>
        <v>10500000000</v>
      </c>
      <c r="AJ52" s="175"/>
    </row>
    <row r="53" spans="1:38">
      <c r="A53" s="195" t="s">
        <v>32</v>
      </c>
      <c r="B53" s="196"/>
      <c r="C53" s="197">
        <f>SUM(C7:C52)</f>
        <v>0</v>
      </c>
      <c r="D53" s="197">
        <f t="shared" ref="D53:AI53" si="2">SUM(D7:D52)</f>
        <v>0</v>
      </c>
      <c r="E53" s="197">
        <f t="shared" si="2"/>
        <v>97846397</v>
      </c>
      <c r="F53" s="197">
        <f t="shared" si="2"/>
        <v>1901302998</v>
      </c>
      <c r="G53" s="197">
        <f t="shared" si="2"/>
        <v>151578981</v>
      </c>
      <c r="H53" s="197">
        <f t="shared" si="2"/>
        <v>0</v>
      </c>
      <c r="I53" s="197">
        <f t="shared" si="2"/>
        <v>4282677934</v>
      </c>
      <c r="J53" s="197">
        <f t="shared" si="2"/>
        <v>0</v>
      </c>
      <c r="K53" s="197">
        <f t="shared" si="2"/>
        <v>0</v>
      </c>
      <c r="L53" s="197">
        <f t="shared" si="2"/>
        <v>118349280</v>
      </c>
      <c r="M53" s="197">
        <f t="shared" si="2"/>
        <v>0</v>
      </c>
      <c r="N53" s="197">
        <f t="shared" si="2"/>
        <v>14436446</v>
      </c>
      <c r="O53" s="197">
        <f t="shared" si="2"/>
        <v>23204724</v>
      </c>
      <c r="P53" s="197">
        <f t="shared" si="2"/>
        <v>1997711949</v>
      </c>
      <c r="Q53" s="197">
        <f t="shared" si="2"/>
        <v>0</v>
      </c>
      <c r="R53" s="197">
        <f t="shared" si="2"/>
        <v>0</v>
      </c>
      <c r="S53" s="197">
        <f t="shared" si="2"/>
        <v>367963498</v>
      </c>
      <c r="T53" s="197">
        <f>SUM(T7:T52)</f>
        <v>763479507</v>
      </c>
      <c r="U53" s="197">
        <f t="shared" si="2"/>
        <v>0</v>
      </c>
      <c r="V53" s="197">
        <f>SUM(V7:V52)</f>
        <v>8386620277</v>
      </c>
      <c r="W53" s="197">
        <f t="shared" si="2"/>
        <v>0</v>
      </c>
      <c r="X53" s="197">
        <f t="shared" si="2"/>
        <v>0</v>
      </c>
      <c r="Y53" s="197">
        <f t="shared" si="2"/>
        <v>0</v>
      </c>
      <c r="Z53" s="197">
        <f t="shared" si="2"/>
        <v>0</v>
      </c>
      <c r="AA53" s="197">
        <f t="shared" si="2"/>
        <v>0</v>
      </c>
      <c r="AB53" s="197">
        <f t="shared" si="2"/>
        <v>0</v>
      </c>
      <c r="AC53" s="197">
        <f t="shared" si="2"/>
        <v>0</v>
      </c>
      <c r="AD53" s="197">
        <f t="shared" si="2"/>
        <v>0</v>
      </c>
      <c r="AE53" s="197">
        <f t="shared" si="2"/>
        <v>0</v>
      </c>
      <c r="AF53" s="197">
        <f t="shared" si="2"/>
        <v>0</v>
      </c>
      <c r="AG53" s="197">
        <f t="shared" si="2"/>
        <v>3500000000</v>
      </c>
      <c r="AH53" s="197">
        <f t="shared" si="2"/>
        <v>1939933081</v>
      </c>
      <c r="AI53" s="197">
        <f t="shared" si="2"/>
        <v>18026727825</v>
      </c>
    </row>
    <row r="54" spans="1:38">
      <c r="A54" s="199"/>
      <c r="B54" s="162"/>
      <c r="C54" s="200"/>
      <c r="D54" s="200"/>
      <c r="E54" s="165"/>
      <c r="F54" s="165"/>
      <c r="G54" s="165"/>
      <c r="H54" s="165"/>
      <c r="I54" s="165"/>
      <c r="J54" s="200"/>
      <c r="K54" s="200"/>
      <c r="L54" s="165"/>
      <c r="M54" s="165"/>
      <c r="N54" s="165"/>
      <c r="O54" s="200"/>
      <c r="P54" s="165"/>
      <c r="Q54" s="165"/>
      <c r="R54" s="165"/>
      <c r="S54" s="165"/>
      <c r="T54" s="165"/>
      <c r="U54" s="165"/>
      <c r="V54" s="165"/>
      <c r="W54" s="190">
        <v>0</v>
      </c>
      <c r="X54" s="190">
        <v>0</v>
      </c>
      <c r="Y54" s="190">
        <v>0</v>
      </c>
      <c r="Z54" s="190">
        <v>0</v>
      </c>
      <c r="AA54" s="190">
        <v>0</v>
      </c>
      <c r="AB54" s="190">
        <v>0</v>
      </c>
      <c r="AC54" s="165"/>
      <c r="AD54" s="165"/>
      <c r="AE54" s="165"/>
      <c r="AF54" s="165"/>
      <c r="AG54" s="165"/>
      <c r="AH54" s="165"/>
      <c r="AI54" s="201"/>
      <c r="AJ54" s="154"/>
    </row>
    <row r="55" spans="1:38">
      <c r="A55" s="202" t="s">
        <v>33</v>
      </c>
      <c r="B55" s="162"/>
      <c r="C55" s="200"/>
      <c r="D55" s="200"/>
      <c r="E55" s="165"/>
      <c r="F55" s="165"/>
      <c r="G55" s="200"/>
      <c r="H55" s="165"/>
      <c r="I55" s="165"/>
      <c r="J55" s="200"/>
      <c r="K55" s="200"/>
      <c r="L55" s="165"/>
      <c r="M55" s="165"/>
      <c r="N55" s="165"/>
      <c r="O55" s="200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200"/>
      <c r="AB55" s="200"/>
      <c r="AC55" s="165"/>
      <c r="AD55" s="165"/>
      <c r="AE55" s="165"/>
      <c r="AF55" s="165"/>
      <c r="AG55" s="165"/>
      <c r="AH55" s="165"/>
      <c r="AI55" s="201">
        <f t="shared" ref="AI55:AI78" si="3">SUM(B55:AG55)</f>
        <v>0</v>
      </c>
      <c r="AJ55" s="154"/>
    </row>
    <row r="56" spans="1:38">
      <c r="A56" s="203" t="s">
        <v>34</v>
      </c>
      <c r="B56" s="204"/>
      <c r="C56" s="205"/>
      <c r="D56" s="200"/>
      <c r="E56" s="200"/>
      <c r="F56" s="200"/>
      <c r="G56" s="200">
        <v>981505184</v>
      </c>
      <c r="H56" s="204"/>
      <c r="I56" s="200"/>
      <c r="J56" s="200"/>
      <c r="K56" s="200"/>
      <c r="L56" s="200"/>
      <c r="M56" s="200">
        <v>2556372883</v>
      </c>
      <c r="N56" s="200"/>
      <c r="O56" s="205"/>
      <c r="P56" s="200"/>
      <c r="Q56" s="200"/>
      <c r="R56" s="200"/>
      <c r="S56" s="200"/>
      <c r="T56" s="200"/>
      <c r="U56" s="207"/>
      <c r="V56" s="200"/>
      <c r="W56" s="204"/>
      <c r="X56" s="200"/>
      <c r="Y56" s="200"/>
      <c r="Z56" s="200"/>
      <c r="AA56" s="200"/>
      <c r="AB56" s="200"/>
      <c r="AC56" s="204"/>
      <c r="AD56" s="200"/>
      <c r="AE56" s="200"/>
      <c r="AF56" s="200"/>
      <c r="AG56" s="204"/>
      <c r="AH56" s="204"/>
      <c r="AI56" s="201">
        <f t="shared" si="3"/>
        <v>3537878067</v>
      </c>
      <c r="AJ56" s="173"/>
    </row>
    <row r="57" spans="1:38">
      <c r="A57" s="203" t="s">
        <v>34</v>
      </c>
      <c r="B57" s="204"/>
      <c r="C57" s="205"/>
      <c r="D57" s="200"/>
      <c r="E57" s="200"/>
      <c r="F57" s="200"/>
      <c r="G57" s="200"/>
      <c r="H57" s="204"/>
      <c r="I57" s="200"/>
      <c r="J57" s="200"/>
      <c r="K57" s="200"/>
      <c r="L57" s="200"/>
      <c r="M57" s="200">
        <v>4544967884</v>
      </c>
      <c r="N57" s="200"/>
      <c r="O57" s="205"/>
      <c r="P57" s="200"/>
      <c r="Q57" s="200"/>
      <c r="R57" s="200"/>
      <c r="S57" s="200"/>
      <c r="T57" s="200"/>
      <c r="U57" s="207"/>
      <c r="V57" s="200"/>
      <c r="W57" s="204"/>
      <c r="X57" s="200"/>
      <c r="Y57" s="200"/>
      <c r="Z57" s="200"/>
      <c r="AA57" s="200"/>
      <c r="AB57" s="200"/>
      <c r="AC57" s="204"/>
      <c r="AD57" s="200"/>
      <c r="AE57" s="200"/>
      <c r="AF57" s="200"/>
      <c r="AG57" s="204"/>
      <c r="AH57" s="204"/>
      <c r="AI57" s="201"/>
      <c r="AJ57" s="173"/>
    </row>
    <row r="58" spans="1:38">
      <c r="A58" s="203" t="s">
        <v>198</v>
      </c>
      <c r="B58" s="204"/>
      <c r="C58" s="205"/>
      <c r="D58" s="200"/>
      <c r="E58" s="205"/>
      <c r="F58" s="200"/>
      <c r="G58" s="200">
        <v>6073063</v>
      </c>
      <c r="H58" s="204"/>
      <c r="I58" s="200"/>
      <c r="J58" s="200"/>
      <c r="K58" s="200"/>
      <c r="L58" s="200"/>
      <c r="M58" s="200">
        <v>32202585</v>
      </c>
      <c r="N58" s="200"/>
      <c r="O58" s="205"/>
      <c r="P58" s="200"/>
      <c r="Q58" s="200"/>
      <c r="R58" s="200"/>
      <c r="S58" s="200"/>
      <c r="T58" s="200"/>
      <c r="U58" s="207"/>
      <c r="V58" s="200"/>
      <c r="W58" s="204"/>
      <c r="X58" s="200"/>
      <c r="Y58" s="200"/>
      <c r="Z58" s="200"/>
      <c r="AA58" s="200"/>
      <c r="AB58" s="200"/>
      <c r="AC58" s="200"/>
      <c r="AD58" s="200"/>
      <c r="AE58" s="204"/>
      <c r="AF58" s="200"/>
      <c r="AG58" s="204"/>
      <c r="AH58" s="204"/>
      <c r="AI58" s="201">
        <f t="shared" si="3"/>
        <v>38275648</v>
      </c>
      <c r="AJ58" s="173"/>
    </row>
    <row r="59" spans="1:38">
      <c r="A59" s="203" t="s">
        <v>227</v>
      </c>
      <c r="B59" s="204"/>
      <c r="C59" s="205"/>
      <c r="D59" s="200"/>
      <c r="E59" s="205"/>
      <c r="F59" s="200"/>
      <c r="G59" s="200">
        <v>3912639567</v>
      </c>
      <c r="H59" s="200"/>
      <c r="I59" s="200"/>
      <c r="J59" s="200"/>
      <c r="K59" s="200"/>
      <c r="L59" s="200"/>
      <c r="M59" s="200"/>
      <c r="N59" s="200">
        <v>4296619000</v>
      </c>
      <c r="O59" s="205">
        <v>2910017045</v>
      </c>
      <c r="P59" s="200">
        <v>2166057981</v>
      </c>
      <c r="Q59" s="200"/>
      <c r="R59" s="200"/>
      <c r="S59" s="200"/>
      <c r="T59" s="200">
        <v>1713440499</v>
      </c>
      <c r="U59" s="207"/>
      <c r="V59" s="200">
        <v>2075257183</v>
      </c>
      <c r="W59" s="200"/>
      <c r="X59" s="200"/>
      <c r="Y59" s="200"/>
      <c r="Z59" s="200"/>
      <c r="AA59" s="200"/>
      <c r="AB59" s="200"/>
      <c r="AC59" s="200"/>
      <c r="AD59" s="200"/>
      <c r="AE59" s="207"/>
      <c r="AF59" s="200"/>
      <c r="AG59" s="204"/>
      <c r="AH59" s="204"/>
      <c r="AI59" s="201">
        <f t="shared" si="3"/>
        <v>17074031275</v>
      </c>
      <c r="AJ59" s="173"/>
    </row>
    <row r="60" spans="1:38">
      <c r="A60" s="203" t="s">
        <v>227</v>
      </c>
      <c r="B60" s="204"/>
      <c r="C60" s="205"/>
      <c r="D60" s="200"/>
      <c r="E60" s="205"/>
      <c r="F60" s="200"/>
      <c r="G60" s="200"/>
      <c r="H60" s="200"/>
      <c r="I60" s="200"/>
      <c r="J60" s="200"/>
      <c r="K60" s="200"/>
      <c r="L60" s="200"/>
      <c r="M60" s="200"/>
      <c r="N60" s="200"/>
      <c r="O60" s="205"/>
      <c r="P60" s="200"/>
      <c r="Q60" s="200"/>
      <c r="R60" s="200"/>
      <c r="S60" s="200"/>
      <c r="T60" s="200"/>
      <c r="U60" s="207"/>
      <c r="V60" s="204"/>
      <c r="W60" s="200"/>
      <c r="X60" s="200"/>
      <c r="Y60" s="200"/>
      <c r="Z60" s="200"/>
      <c r="AA60" s="200"/>
      <c r="AB60" s="200"/>
      <c r="AC60" s="200"/>
      <c r="AD60" s="204"/>
      <c r="AE60" s="204"/>
      <c r="AF60" s="200"/>
      <c r="AG60" s="200"/>
      <c r="AH60" s="204"/>
      <c r="AI60" s="201">
        <f t="shared" si="3"/>
        <v>0</v>
      </c>
      <c r="AJ60" s="173"/>
    </row>
    <row r="61" spans="1:38">
      <c r="A61" s="203" t="s">
        <v>199</v>
      </c>
      <c r="B61" s="204"/>
      <c r="C61" s="208"/>
      <c r="D61" s="164"/>
      <c r="E61" s="205"/>
      <c r="F61" s="200"/>
      <c r="G61" s="200">
        <v>25470804</v>
      </c>
      <c r="H61" s="164"/>
      <c r="I61" s="200"/>
      <c r="J61" s="164"/>
      <c r="K61" s="164"/>
      <c r="L61" s="200"/>
      <c r="M61" s="200"/>
      <c r="N61" s="200">
        <v>32210972</v>
      </c>
      <c r="O61" s="205">
        <v>20648479</v>
      </c>
      <c r="P61" s="200">
        <v>14043443</v>
      </c>
      <c r="Q61" s="176"/>
      <c r="R61" s="200"/>
      <c r="S61" s="200"/>
      <c r="T61" s="205">
        <v>10927943</v>
      </c>
      <c r="U61" s="207"/>
      <c r="V61" s="200">
        <v>12761386</v>
      </c>
      <c r="W61" s="200"/>
      <c r="X61" s="200"/>
      <c r="Y61" s="200"/>
      <c r="Z61" s="200"/>
      <c r="AA61" s="200"/>
      <c r="AB61" s="164"/>
      <c r="AC61" s="200"/>
      <c r="AD61" s="180"/>
      <c r="AE61" s="207"/>
      <c r="AF61" s="205"/>
      <c r="AG61" s="204"/>
      <c r="AH61" s="204"/>
      <c r="AI61" s="201">
        <f t="shared" si="3"/>
        <v>116063027</v>
      </c>
      <c r="AJ61" s="173"/>
      <c r="AL61" s="150" t="s">
        <v>253</v>
      </c>
    </row>
    <row r="62" spans="1:38">
      <c r="A62" s="203" t="s">
        <v>228</v>
      </c>
      <c r="B62" s="204"/>
      <c r="C62" s="205"/>
      <c r="D62" s="205"/>
      <c r="E62" s="205"/>
      <c r="F62" s="200"/>
      <c r="G62" s="200"/>
      <c r="H62" s="200"/>
      <c r="I62" s="200"/>
      <c r="J62" s="200"/>
      <c r="K62" s="200"/>
      <c r="L62" s="210"/>
      <c r="M62" s="200">
        <v>282393029</v>
      </c>
      <c r="N62" s="200"/>
      <c r="O62" s="205"/>
      <c r="P62" s="205"/>
      <c r="Q62" s="200"/>
      <c r="R62" s="200"/>
      <c r="S62" s="200"/>
      <c r="T62" s="205"/>
      <c r="U62" s="209"/>
      <c r="V62" s="204"/>
      <c r="W62" s="200"/>
      <c r="X62" s="200"/>
      <c r="Y62" s="176"/>
      <c r="Z62" s="200"/>
      <c r="AA62" s="200"/>
      <c r="AB62" s="200"/>
      <c r="AC62" s="200"/>
      <c r="AD62" s="204"/>
      <c r="AE62" s="200"/>
      <c r="AF62" s="205"/>
      <c r="AG62" s="204"/>
      <c r="AH62" s="204"/>
      <c r="AI62" s="201">
        <f t="shared" si="3"/>
        <v>282393029</v>
      </c>
      <c r="AJ62" s="173"/>
    </row>
    <row r="63" spans="1:38">
      <c r="A63" s="203" t="s">
        <v>200</v>
      </c>
      <c r="B63" s="204"/>
      <c r="C63" s="205"/>
      <c r="D63" s="205"/>
      <c r="E63" s="205"/>
      <c r="F63" s="200"/>
      <c r="G63" s="200"/>
      <c r="H63" s="200"/>
      <c r="I63" s="200"/>
      <c r="J63" s="200"/>
      <c r="K63" s="200"/>
      <c r="L63" s="210"/>
      <c r="M63" s="200">
        <v>2000284</v>
      </c>
      <c r="N63" s="200"/>
      <c r="O63" s="205"/>
      <c r="P63" s="205"/>
      <c r="Q63" s="200"/>
      <c r="R63" s="200"/>
      <c r="S63" s="200"/>
      <c r="T63" s="205"/>
      <c r="U63" s="205"/>
      <c r="V63" s="204"/>
      <c r="W63" s="200"/>
      <c r="X63" s="200"/>
      <c r="Y63" s="176"/>
      <c r="Z63" s="200"/>
      <c r="AA63" s="200"/>
      <c r="AB63" s="200"/>
      <c r="AC63" s="200"/>
      <c r="AD63" s="204"/>
      <c r="AE63" s="200"/>
      <c r="AF63" s="205"/>
      <c r="AG63" s="204"/>
      <c r="AH63" s="204"/>
      <c r="AI63" s="201">
        <f t="shared" si="3"/>
        <v>2000284</v>
      </c>
      <c r="AJ63" s="173"/>
    </row>
    <row r="64" spans="1:38">
      <c r="A64" s="203" t="s">
        <v>36</v>
      </c>
      <c r="B64" s="204"/>
      <c r="C64" s="205"/>
      <c r="D64" s="205"/>
      <c r="E64" s="205"/>
      <c r="F64" s="200"/>
      <c r="G64" s="200"/>
      <c r="H64" s="204"/>
      <c r="I64" s="200"/>
      <c r="J64" s="200"/>
      <c r="K64" s="200"/>
      <c r="L64" s="210"/>
      <c r="M64" s="200"/>
      <c r="N64" s="200"/>
      <c r="O64" s="205"/>
      <c r="P64" s="205"/>
      <c r="Q64" s="200"/>
      <c r="R64" s="200"/>
      <c r="S64" s="200"/>
      <c r="T64" s="205">
        <v>4488989910</v>
      </c>
      <c r="U64" s="205"/>
      <c r="V64" s="204"/>
      <c r="W64" s="200"/>
      <c r="X64" s="200"/>
      <c r="Y64" s="176"/>
      <c r="Z64" s="200"/>
      <c r="AA64" s="200"/>
      <c r="AB64" s="200"/>
      <c r="AC64" s="200"/>
      <c r="AD64" s="204"/>
      <c r="AE64" s="200"/>
      <c r="AF64" s="205"/>
      <c r="AG64" s="204"/>
      <c r="AH64" s="204"/>
      <c r="AI64" s="201">
        <f t="shared" si="3"/>
        <v>4488989910</v>
      </c>
      <c r="AJ64" s="173"/>
    </row>
    <row r="65" spans="1:36">
      <c r="A65" s="203" t="s">
        <v>36</v>
      </c>
      <c r="B65" s="204"/>
      <c r="C65" s="205"/>
      <c r="D65" s="205"/>
      <c r="E65" s="205"/>
      <c r="F65" s="200"/>
      <c r="G65" s="200"/>
      <c r="H65" s="204"/>
      <c r="I65" s="200"/>
      <c r="J65" s="200"/>
      <c r="K65" s="200"/>
      <c r="L65" s="210"/>
      <c r="M65" s="200"/>
      <c r="N65" s="200"/>
      <c r="O65" s="205"/>
      <c r="P65" s="205"/>
      <c r="Q65" s="200"/>
      <c r="R65" s="200"/>
      <c r="S65" s="200"/>
      <c r="T65" s="205"/>
      <c r="U65" s="205"/>
      <c r="V65" s="204"/>
      <c r="W65" s="200"/>
      <c r="X65" s="200"/>
      <c r="Y65" s="176"/>
      <c r="Z65" s="200"/>
      <c r="AA65" s="200"/>
      <c r="AB65" s="200"/>
      <c r="AC65" s="200"/>
      <c r="AD65" s="204"/>
      <c r="AE65" s="200"/>
      <c r="AF65" s="205"/>
      <c r="AG65" s="204"/>
      <c r="AH65" s="204"/>
      <c r="AI65" s="201"/>
      <c r="AJ65" s="173"/>
    </row>
    <row r="66" spans="1:36">
      <c r="A66" s="203" t="s">
        <v>36</v>
      </c>
      <c r="B66" s="204"/>
      <c r="C66" s="205"/>
      <c r="D66" s="205"/>
      <c r="E66" s="205"/>
      <c r="F66" s="200"/>
      <c r="G66" s="200"/>
      <c r="H66" s="204"/>
      <c r="I66" s="200"/>
      <c r="J66" s="200"/>
      <c r="K66" s="200"/>
      <c r="L66" s="210"/>
      <c r="M66" s="200"/>
      <c r="N66" s="200"/>
      <c r="O66" s="205"/>
      <c r="P66" s="205"/>
      <c r="Q66" s="200"/>
      <c r="R66" s="200"/>
      <c r="S66" s="200"/>
      <c r="T66" s="205"/>
      <c r="U66" s="205"/>
      <c r="V66" s="204"/>
      <c r="W66" s="200"/>
      <c r="X66" s="200"/>
      <c r="Y66" s="176"/>
      <c r="Z66" s="200"/>
      <c r="AA66" s="200"/>
      <c r="AB66" s="200"/>
      <c r="AC66" s="200"/>
      <c r="AD66" s="204"/>
      <c r="AE66" s="200"/>
      <c r="AF66" s="205"/>
      <c r="AG66" s="204"/>
      <c r="AH66" s="204"/>
      <c r="AI66" s="201"/>
      <c r="AJ66" s="173"/>
    </row>
    <row r="67" spans="1:36">
      <c r="A67" s="203" t="s">
        <v>242</v>
      </c>
      <c r="B67" s="204"/>
      <c r="C67" s="205"/>
      <c r="D67" s="205"/>
      <c r="E67" s="205"/>
      <c r="F67" s="200"/>
      <c r="G67" s="200"/>
      <c r="H67" s="204"/>
      <c r="I67" s="200"/>
      <c r="J67" s="200"/>
      <c r="K67" s="200"/>
      <c r="L67" s="210"/>
      <c r="M67" s="200"/>
      <c r="N67" s="200"/>
      <c r="O67" s="205"/>
      <c r="P67" s="205"/>
      <c r="Q67" s="200"/>
      <c r="R67" s="200"/>
      <c r="S67" s="200"/>
      <c r="T67" s="205">
        <v>29677211</v>
      </c>
      <c r="U67" s="205"/>
      <c r="V67" s="204"/>
      <c r="W67" s="200"/>
      <c r="X67" s="200"/>
      <c r="Y67" s="176"/>
      <c r="Z67" s="200"/>
      <c r="AA67" s="200"/>
      <c r="AB67" s="200"/>
      <c r="AC67" s="204"/>
      <c r="AD67" s="204"/>
      <c r="AE67" s="200"/>
      <c r="AF67" s="205"/>
      <c r="AG67" s="204"/>
      <c r="AH67" s="204"/>
      <c r="AI67" s="201">
        <f t="shared" si="3"/>
        <v>29677211</v>
      </c>
      <c r="AJ67" s="173"/>
    </row>
    <row r="68" spans="1:36">
      <c r="A68" s="162" t="s">
        <v>53</v>
      </c>
      <c r="B68" s="204"/>
      <c r="C68" s="205"/>
      <c r="D68" s="180"/>
      <c r="E68" s="205"/>
      <c r="F68" s="200"/>
      <c r="G68" s="200"/>
      <c r="H68" s="200"/>
      <c r="I68" s="200"/>
      <c r="J68" s="200"/>
      <c r="K68" s="200"/>
      <c r="L68" s="210"/>
      <c r="M68" s="200"/>
      <c r="N68" s="180"/>
      <c r="O68" s="180"/>
      <c r="P68" s="180"/>
      <c r="Q68" s="200"/>
      <c r="R68" s="200"/>
      <c r="T68" s="205"/>
      <c r="U68" s="176"/>
      <c r="V68" s="169"/>
      <c r="W68" s="200"/>
      <c r="X68" s="176"/>
      <c r="Y68" s="200"/>
      <c r="Z68" s="200"/>
      <c r="AA68" s="200"/>
      <c r="AB68" s="164"/>
      <c r="AC68" s="200"/>
      <c r="AD68" s="200"/>
      <c r="AE68" s="200"/>
      <c r="AF68" s="205"/>
      <c r="AG68" s="200"/>
      <c r="AH68" s="200"/>
      <c r="AI68" s="201">
        <f t="shared" si="3"/>
        <v>0</v>
      </c>
      <c r="AJ68" s="173"/>
    </row>
    <row r="69" spans="1:36">
      <c r="A69" s="162" t="s">
        <v>54</v>
      </c>
      <c r="B69" s="204"/>
      <c r="C69" s="205"/>
      <c r="D69" s="205"/>
      <c r="E69" s="180"/>
      <c r="F69" s="200"/>
      <c r="G69" s="200"/>
      <c r="H69" s="200"/>
      <c r="I69" s="200"/>
      <c r="J69" s="200"/>
      <c r="K69" s="200"/>
      <c r="L69" s="267"/>
      <c r="M69" s="200"/>
      <c r="N69" s="200"/>
      <c r="O69" s="205"/>
      <c r="P69" s="180"/>
      <c r="Q69" s="200"/>
      <c r="R69" s="200"/>
      <c r="S69" s="200"/>
      <c r="T69" s="205"/>
      <c r="U69" s="205"/>
      <c r="V69" s="169"/>
      <c r="W69" s="180"/>
      <c r="X69" s="169"/>
      <c r="Y69" s="200"/>
      <c r="Z69" s="180"/>
      <c r="AA69" s="200"/>
      <c r="AB69" s="200"/>
      <c r="AC69" s="204"/>
      <c r="AD69" s="200"/>
      <c r="AE69" s="200"/>
      <c r="AF69" s="205"/>
      <c r="AG69" s="204"/>
      <c r="AH69" s="204"/>
      <c r="AI69" s="201">
        <f t="shared" si="3"/>
        <v>0</v>
      </c>
      <c r="AJ69" s="173">
        <v>1</v>
      </c>
    </row>
    <row r="70" spans="1:36">
      <c r="A70" s="162" t="s">
        <v>203</v>
      </c>
      <c r="B70" s="204"/>
      <c r="C70" s="205"/>
      <c r="D70" s="205"/>
      <c r="E70" s="180">
        <v>140646841</v>
      </c>
      <c r="F70" s="200"/>
      <c r="G70" s="200"/>
      <c r="H70" s="204"/>
      <c r="I70" s="205"/>
      <c r="J70" s="200"/>
      <c r="K70" s="200"/>
      <c r="L70" s="267"/>
      <c r="M70" s="200"/>
      <c r="N70" s="200"/>
      <c r="O70" s="205"/>
      <c r="P70" s="180"/>
      <c r="Q70" s="200"/>
      <c r="R70" s="200"/>
      <c r="S70" s="200"/>
      <c r="T70" s="205"/>
      <c r="U70" s="205"/>
      <c r="V70" s="176"/>
      <c r="W70" s="180"/>
      <c r="X70" s="169"/>
      <c r="Y70" s="200"/>
      <c r="Z70" s="180"/>
      <c r="AA70" s="200"/>
      <c r="AB70" s="200"/>
      <c r="AC70" s="204"/>
      <c r="AD70" s="200"/>
      <c r="AE70" s="205"/>
      <c r="AF70" s="205"/>
      <c r="AG70" s="204"/>
      <c r="AH70" s="204"/>
      <c r="AI70" s="201">
        <f t="shared" si="3"/>
        <v>140646841</v>
      </c>
      <c r="AJ70" s="173"/>
    </row>
    <row r="71" spans="1:36">
      <c r="A71" s="162" t="s">
        <v>37</v>
      </c>
      <c r="B71" s="204"/>
      <c r="C71" s="180"/>
      <c r="D71" s="200"/>
      <c r="E71" s="180"/>
      <c r="F71" s="164"/>
      <c r="G71" s="180"/>
      <c r="H71" s="200"/>
      <c r="I71" s="180"/>
      <c r="J71" s="200"/>
      <c r="K71" s="200"/>
      <c r="L71" s="267"/>
      <c r="M71" s="200"/>
      <c r="N71" s="200">
        <v>2078712567</v>
      </c>
      <c r="O71" s="205">
        <v>1072273951</v>
      </c>
      <c r="P71" s="176">
        <v>1145868554</v>
      </c>
      <c r="Q71" s="200"/>
      <c r="R71" s="200"/>
      <c r="S71" s="200">
        <v>883437017</v>
      </c>
      <c r="T71" s="205">
        <v>112540482</v>
      </c>
      <c r="U71" s="176"/>
      <c r="V71" s="176"/>
      <c r="W71" s="200"/>
      <c r="X71" s="176"/>
      <c r="Y71" s="180"/>
      <c r="Z71" s="200"/>
      <c r="AA71" s="200"/>
      <c r="AB71" s="172"/>
      <c r="AC71" s="200"/>
      <c r="AD71" s="200"/>
      <c r="AE71" s="176"/>
      <c r="AF71" s="178"/>
      <c r="AG71" s="200"/>
      <c r="AH71" s="200"/>
      <c r="AI71" s="201">
        <f t="shared" si="3"/>
        <v>5292832571</v>
      </c>
      <c r="AJ71" s="173"/>
    </row>
    <row r="72" spans="1:36">
      <c r="A72" s="162" t="s">
        <v>38</v>
      </c>
      <c r="B72" s="204"/>
      <c r="C72" s="176"/>
      <c r="D72" s="176"/>
      <c r="E72" s="180"/>
      <c r="F72" s="200"/>
      <c r="G72" s="200"/>
      <c r="H72" s="200"/>
      <c r="I72" s="205"/>
      <c r="J72" s="200"/>
      <c r="K72" s="180"/>
      <c r="L72" s="267"/>
      <c r="M72" s="200"/>
      <c r="N72" s="180"/>
      <c r="O72" s="180"/>
      <c r="P72" s="205"/>
      <c r="Q72" s="174"/>
      <c r="R72" s="176"/>
      <c r="S72" s="200"/>
      <c r="T72" s="176"/>
      <c r="U72" s="205"/>
      <c r="V72" s="205"/>
      <c r="W72" s="180"/>
      <c r="X72" s="169"/>
      <c r="Y72" s="180"/>
      <c r="Z72" s="180"/>
      <c r="AA72" s="200"/>
      <c r="AB72" s="172"/>
      <c r="AC72" s="200"/>
      <c r="AD72" s="200"/>
      <c r="AE72" s="205"/>
      <c r="AF72" s="176"/>
      <c r="AG72" s="169"/>
      <c r="AH72" s="169"/>
      <c r="AI72" s="201">
        <f t="shared" si="3"/>
        <v>0</v>
      </c>
      <c r="AJ72" s="173"/>
    </row>
    <row r="73" spans="1:36">
      <c r="A73" s="162" t="s">
        <v>414</v>
      </c>
      <c r="B73" s="204"/>
      <c r="C73" s="176"/>
      <c r="D73" s="176"/>
      <c r="E73" s="180"/>
      <c r="F73" s="200"/>
      <c r="G73" s="200"/>
      <c r="H73" s="200"/>
      <c r="I73" s="205"/>
      <c r="J73" s="200"/>
      <c r="K73" s="180"/>
      <c r="L73" s="267"/>
      <c r="M73" s="200"/>
      <c r="N73" s="180"/>
      <c r="O73" s="180"/>
      <c r="P73" s="205"/>
      <c r="Q73" s="174"/>
      <c r="R73" s="176"/>
      <c r="S73" s="200"/>
      <c r="T73" s="176"/>
      <c r="U73" s="205"/>
      <c r="V73" s="205"/>
      <c r="W73" s="180"/>
      <c r="X73" s="169"/>
      <c r="Y73" s="180"/>
      <c r="Z73" s="180"/>
      <c r="AA73" s="200"/>
      <c r="AB73" s="172"/>
      <c r="AC73" s="200"/>
      <c r="AD73" s="200"/>
      <c r="AE73" s="205"/>
      <c r="AF73" s="176"/>
      <c r="AG73" s="169"/>
      <c r="AH73" s="169"/>
      <c r="AI73" s="201"/>
      <c r="AJ73" s="173"/>
    </row>
    <row r="74" spans="1:36">
      <c r="A74" s="162" t="s">
        <v>201</v>
      </c>
      <c r="B74" s="204"/>
      <c r="C74" s="176"/>
      <c r="D74" s="169"/>
      <c r="E74" s="180">
        <v>89668307</v>
      </c>
      <c r="F74" s="200"/>
      <c r="G74" s="200"/>
      <c r="H74" s="204"/>
      <c r="I74" s="205"/>
      <c r="J74" s="200"/>
      <c r="K74" s="180"/>
      <c r="L74" s="205"/>
      <c r="M74" s="200"/>
      <c r="N74" s="174"/>
      <c r="O74" s="180"/>
      <c r="P74" s="205"/>
      <c r="Q74" s="174"/>
      <c r="R74" s="176"/>
      <c r="S74" s="200"/>
      <c r="T74" s="176"/>
      <c r="U74" s="205"/>
      <c r="V74" s="205"/>
      <c r="W74" s="180"/>
      <c r="X74" s="176"/>
      <c r="Y74" s="180"/>
      <c r="Z74" s="180"/>
      <c r="AA74" s="200"/>
      <c r="AB74" s="172"/>
      <c r="AC74" s="200"/>
      <c r="AD74" s="200"/>
      <c r="AE74" s="205"/>
      <c r="AF74" s="176"/>
      <c r="AG74" s="169"/>
      <c r="AH74" s="169"/>
      <c r="AI74" s="201">
        <f t="shared" si="3"/>
        <v>89668307</v>
      </c>
      <c r="AJ74" s="173"/>
    </row>
    <row r="75" spans="1:36">
      <c r="A75" s="162" t="s">
        <v>175</v>
      </c>
      <c r="B75" s="204"/>
      <c r="C75" s="193"/>
      <c r="D75" s="200"/>
      <c r="E75" s="180">
        <v>2865371212</v>
      </c>
      <c r="F75" s="200">
        <v>1958085553</v>
      </c>
      <c r="G75" s="200">
        <v>2941161888</v>
      </c>
      <c r="H75" s="200"/>
      <c r="I75" s="205">
        <v>4115574576</v>
      </c>
      <c r="J75" s="180"/>
      <c r="K75" s="200"/>
      <c r="L75" s="176">
        <v>2645232868</v>
      </c>
      <c r="M75" s="200"/>
      <c r="N75" s="180"/>
      <c r="O75" s="180">
        <v>1522520042</v>
      </c>
      <c r="P75" s="154">
        <v>1123645962</v>
      </c>
      <c r="Q75" s="205"/>
      <c r="R75" s="176"/>
      <c r="S75" s="200"/>
      <c r="T75" s="200"/>
      <c r="U75" s="200"/>
      <c r="V75" s="200"/>
      <c r="W75" s="180"/>
      <c r="X75" s="176"/>
      <c r="Y75" s="180"/>
      <c r="Z75" s="180"/>
      <c r="AA75" s="176"/>
      <c r="AB75" s="172"/>
      <c r="AC75" s="200"/>
      <c r="AD75" s="200"/>
      <c r="AE75" s="176"/>
      <c r="AF75" s="176"/>
      <c r="AG75" s="176"/>
      <c r="AH75" s="169"/>
      <c r="AI75" s="201">
        <f t="shared" si="3"/>
        <v>17171592101</v>
      </c>
      <c r="AJ75" s="173"/>
    </row>
    <row r="76" spans="1:36">
      <c r="A76" s="162" t="s">
        <v>176</v>
      </c>
      <c r="B76" s="204"/>
      <c r="C76" s="205"/>
      <c r="D76" s="200"/>
      <c r="E76" s="180"/>
      <c r="F76" s="200">
        <v>4178863006</v>
      </c>
      <c r="G76" s="200"/>
      <c r="H76" s="200"/>
      <c r="I76" s="205"/>
      <c r="J76" s="180"/>
      <c r="K76" s="180"/>
      <c r="L76" s="205"/>
      <c r="M76" s="200"/>
      <c r="N76" s="200"/>
      <c r="O76" s="180"/>
      <c r="P76" s="205"/>
      <c r="Q76" s="200"/>
      <c r="R76" s="207"/>
      <c r="S76" s="200"/>
      <c r="T76" s="180"/>
      <c r="U76" s="176"/>
      <c r="V76" s="176"/>
      <c r="W76" s="200"/>
      <c r="X76" s="176"/>
      <c r="Y76" s="180"/>
      <c r="Z76" s="205"/>
      <c r="AA76" s="200"/>
      <c r="AB76" s="172"/>
      <c r="AC76" s="200"/>
      <c r="AD76" s="200"/>
      <c r="AE76" s="205"/>
      <c r="AF76" s="176"/>
      <c r="AG76" s="200"/>
      <c r="AH76" s="200"/>
      <c r="AI76" s="201">
        <f t="shared" si="3"/>
        <v>4178863006</v>
      </c>
      <c r="AJ76" s="173"/>
    </row>
    <row r="77" spans="1:36">
      <c r="A77" s="162" t="s">
        <v>409</v>
      </c>
      <c r="B77" s="204"/>
      <c r="C77" s="205"/>
      <c r="D77" s="200"/>
      <c r="E77" s="180"/>
      <c r="F77" s="200"/>
      <c r="G77" s="200"/>
      <c r="H77" s="200"/>
      <c r="I77" s="205"/>
      <c r="J77" s="180"/>
      <c r="K77" s="180"/>
      <c r="L77" s="205"/>
      <c r="M77" s="200"/>
      <c r="N77" s="200"/>
      <c r="O77" s="180"/>
      <c r="P77" s="205"/>
      <c r="Q77" s="200"/>
      <c r="R77" s="207"/>
      <c r="S77" s="200"/>
      <c r="T77" s="180"/>
      <c r="U77" s="176"/>
      <c r="V77" s="176"/>
      <c r="W77" s="200"/>
      <c r="X77" s="176"/>
      <c r="Y77" s="176"/>
      <c r="Z77" s="176"/>
      <c r="AA77" s="176"/>
      <c r="AB77" s="172"/>
      <c r="AC77" s="200"/>
      <c r="AD77" s="200"/>
      <c r="AE77" s="209"/>
      <c r="AF77" s="176"/>
      <c r="AG77" s="200"/>
      <c r="AH77" s="200"/>
      <c r="AI77" s="201"/>
      <c r="AJ77" s="173"/>
    </row>
    <row r="78" spans="1:36">
      <c r="A78" s="162" t="s">
        <v>202</v>
      </c>
      <c r="B78" s="204"/>
      <c r="C78" s="205"/>
      <c r="D78" s="200"/>
      <c r="E78" s="180"/>
      <c r="F78" s="200"/>
      <c r="G78" s="200"/>
      <c r="H78" s="200"/>
      <c r="I78" s="205"/>
      <c r="J78" s="180"/>
      <c r="K78" s="180"/>
      <c r="L78" s="205"/>
      <c r="M78" s="200"/>
      <c r="N78" s="200"/>
      <c r="O78" s="180"/>
      <c r="P78" s="205"/>
      <c r="Q78" s="200"/>
      <c r="R78" s="207"/>
      <c r="S78" s="200"/>
      <c r="T78" s="180"/>
      <c r="U78" s="176"/>
      <c r="V78" s="200"/>
      <c r="W78" s="200"/>
      <c r="X78" s="176"/>
      <c r="Y78" s="180"/>
      <c r="Z78" s="200"/>
      <c r="AA78" s="200"/>
      <c r="AB78" s="172"/>
      <c r="AC78" s="200"/>
      <c r="AD78" s="200"/>
      <c r="AE78" s="207"/>
      <c r="AF78" s="176"/>
      <c r="AG78" s="200"/>
      <c r="AH78" s="200"/>
      <c r="AI78" s="201">
        <f t="shared" si="3"/>
        <v>0</v>
      </c>
      <c r="AJ78" s="173"/>
    </row>
    <row r="79" spans="1:36">
      <c r="A79" s="211" t="s">
        <v>41</v>
      </c>
      <c r="B79" s="212"/>
      <c r="C79" s="213">
        <f>SUM(C56:C78)</f>
        <v>0</v>
      </c>
      <c r="D79" s="213">
        <f t="shared" ref="D79:AI79" si="4">SUM(D56:D78)</f>
        <v>0</v>
      </c>
      <c r="E79" s="213">
        <f t="shared" si="4"/>
        <v>3095686360</v>
      </c>
      <c r="F79" s="213">
        <f t="shared" si="4"/>
        <v>6136948559</v>
      </c>
      <c r="G79" s="213">
        <f t="shared" si="4"/>
        <v>7866850506</v>
      </c>
      <c r="H79" s="213">
        <f t="shared" si="4"/>
        <v>0</v>
      </c>
      <c r="I79" s="213">
        <f t="shared" si="4"/>
        <v>4115574576</v>
      </c>
      <c r="J79" s="213">
        <f t="shared" si="4"/>
        <v>0</v>
      </c>
      <c r="K79" s="213">
        <f t="shared" si="4"/>
        <v>0</v>
      </c>
      <c r="L79" s="213">
        <f t="shared" si="4"/>
        <v>2645232868</v>
      </c>
      <c r="M79" s="213">
        <f t="shared" si="4"/>
        <v>7417936665</v>
      </c>
      <c r="N79" s="213">
        <f>SUM(N56:N78)</f>
        <v>6407542539</v>
      </c>
      <c r="O79" s="213">
        <f t="shared" si="4"/>
        <v>5525459517</v>
      </c>
      <c r="P79" s="213">
        <f t="shared" si="4"/>
        <v>4449615940</v>
      </c>
      <c r="Q79" s="213">
        <f t="shared" si="4"/>
        <v>0</v>
      </c>
      <c r="R79" s="213">
        <f t="shared" si="4"/>
        <v>0</v>
      </c>
      <c r="S79" s="213">
        <f t="shared" si="4"/>
        <v>883437017</v>
      </c>
      <c r="T79" s="213">
        <f t="shared" si="4"/>
        <v>6355576045</v>
      </c>
      <c r="U79" s="213">
        <f t="shared" si="4"/>
        <v>0</v>
      </c>
      <c r="V79" s="213">
        <f t="shared" si="4"/>
        <v>2088018569</v>
      </c>
      <c r="W79" s="213">
        <f t="shared" si="4"/>
        <v>0</v>
      </c>
      <c r="X79" s="213">
        <f t="shared" si="4"/>
        <v>0</v>
      </c>
      <c r="Y79" s="213">
        <f t="shared" si="4"/>
        <v>0</v>
      </c>
      <c r="Z79" s="213">
        <f t="shared" si="4"/>
        <v>0</v>
      </c>
      <c r="AA79" s="213">
        <f t="shared" si="4"/>
        <v>0</v>
      </c>
      <c r="AB79" s="213">
        <f t="shared" si="4"/>
        <v>0</v>
      </c>
      <c r="AC79" s="213">
        <f t="shared" si="4"/>
        <v>0</v>
      </c>
      <c r="AD79" s="213">
        <f t="shared" si="4"/>
        <v>0</v>
      </c>
      <c r="AE79" s="213">
        <f t="shared" si="4"/>
        <v>0</v>
      </c>
      <c r="AF79" s="213">
        <f t="shared" si="4"/>
        <v>0</v>
      </c>
      <c r="AG79" s="213">
        <f t="shared" si="4"/>
        <v>0</v>
      </c>
      <c r="AH79" s="213">
        <f t="shared" si="4"/>
        <v>0</v>
      </c>
      <c r="AI79" s="213">
        <f t="shared" si="4"/>
        <v>52442911277</v>
      </c>
      <c r="AJ79" s="154"/>
    </row>
    <row r="80" spans="1:36">
      <c r="A80" s="393" t="s">
        <v>42</v>
      </c>
      <c r="B80" s="394"/>
      <c r="C80" s="215">
        <f t="shared" ref="C80:AG80" si="5">C53+C79</f>
        <v>0</v>
      </c>
      <c r="D80" s="215">
        <f>D53+D79</f>
        <v>0</v>
      </c>
      <c r="E80" s="216">
        <f t="shared" si="5"/>
        <v>3193532757</v>
      </c>
      <c r="F80" s="216">
        <f t="shared" si="5"/>
        <v>8038251557</v>
      </c>
      <c r="G80" s="216">
        <f t="shared" si="5"/>
        <v>8018429487</v>
      </c>
      <c r="H80" s="216">
        <f t="shared" si="5"/>
        <v>0</v>
      </c>
      <c r="I80" s="216">
        <f t="shared" si="5"/>
        <v>8398252510</v>
      </c>
      <c r="J80" s="215">
        <f t="shared" si="5"/>
        <v>0</v>
      </c>
      <c r="K80" s="215">
        <f t="shared" si="5"/>
        <v>0</v>
      </c>
      <c r="L80" s="216">
        <f t="shared" si="5"/>
        <v>2763582148</v>
      </c>
      <c r="M80" s="216">
        <f>M53+M79</f>
        <v>7417936665</v>
      </c>
      <c r="N80" s="216">
        <f t="shared" si="5"/>
        <v>6421978985</v>
      </c>
      <c r="O80" s="216">
        <f t="shared" si="5"/>
        <v>5548664241</v>
      </c>
      <c r="P80" s="216">
        <f t="shared" si="5"/>
        <v>6447327889</v>
      </c>
      <c r="Q80" s="216">
        <f t="shared" si="5"/>
        <v>0</v>
      </c>
      <c r="R80" s="216">
        <f t="shared" si="5"/>
        <v>0</v>
      </c>
      <c r="S80" s="216">
        <f t="shared" si="5"/>
        <v>1251400515</v>
      </c>
      <c r="T80" s="216">
        <f t="shared" si="5"/>
        <v>7119055552</v>
      </c>
      <c r="U80" s="216">
        <f t="shared" si="5"/>
        <v>0</v>
      </c>
      <c r="V80" s="216">
        <f t="shared" si="5"/>
        <v>10474638846</v>
      </c>
      <c r="W80" s="216">
        <f t="shared" si="5"/>
        <v>0</v>
      </c>
      <c r="X80" s="216">
        <f t="shared" si="5"/>
        <v>0</v>
      </c>
      <c r="Y80" s="216">
        <f t="shared" si="5"/>
        <v>0</v>
      </c>
      <c r="Z80" s="216">
        <f t="shared" si="5"/>
        <v>0</v>
      </c>
      <c r="AA80" s="216">
        <f t="shared" si="5"/>
        <v>0</v>
      </c>
      <c r="AB80" s="216">
        <f t="shared" si="5"/>
        <v>0</v>
      </c>
      <c r="AC80" s="216">
        <f t="shared" si="5"/>
        <v>0</v>
      </c>
      <c r="AD80" s="216">
        <f t="shared" si="5"/>
        <v>0</v>
      </c>
      <c r="AE80" s="216">
        <f t="shared" si="5"/>
        <v>0</v>
      </c>
      <c r="AF80" s="216">
        <f t="shared" si="5"/>
        <v>0</v>
      </c>
      <c r="AG80" s="216">
        <f t="shared" si="5"/>
        <v>3500000000</v>
      </c>
      <c r="AH80" s="216"/>
      <c r="AI80" s="216">
        <f>SUM(C80:AG80)</f>
        <v>78593051152</v>
      </c>
    </row>
    <row r="82" spans="1:36">
      <c r="A82" s="150" t="s">
        <v>50</v>
      </c>
      <c r="C82" s="154"/>
      <c r="D82" s="193"/>
      <c r="E82" s="154">
        <v>19335448840</v>
      </c>
      <c r="F82" s="154">
        <v>17592552696</v>
      </c>
      <c r="G82" s="154">
        <v>12859460559</v>
      </c>
      <c r="H82" s="154"/>
      <c r="I82" s="154">
        <v>17355643922</v>
      </c>
      <c r="J82" s="154"/>
      <c r="K82" s="193"/>
      <c r="L82" s="154">
        <v>19485776075</v>
      </c>
      <c r="M82" s="154">
        <v>19989134000</v>
      </c>
      <c r="N82" s="154">
        <v>16552454599</v>
      </c>
      <c r="O82" s="154">
        <v>13623259452.780001</v>
      </c>
      <c r="P82" s="154">
        <v>10771588992</v>
      </c>
      <c r="Q82" s="154"/>
      <c r="R82" s="154"/>
      <c r="S82" s="154">
        <v>11025950726</v>
      </c>
      <c r="T82" s="154">
        <v>11856728686</v>
      </c>
      <c r="U82" s="154"/>
      <c r="V82" s="154">
        <v>12750139281</v>
      </c>
      <c r="W82" s="154"/>
      <c r="X82" s="154"/>
      <c r="Y82" s="154"/>
      <c r="Z82" s="154"/>
      <c r="AA82" s="154"/>
      <c r="AB82" s="217"/>
      <c r="AC82" s="154"/>
      <c r="AD82" s="154"/>
      <c r="AE82" s="154"/>
      <c r="AF82" s="154"/>
      <c r="AG82" s="154"/>
      <c r="AH82" s="154"/>
    </row>
    <row r="83" spans="1:36">
      <c r="A83" s="150" t="s">
        <v>139</v>
      </c>
      <c r="C83" s="200"/>
      <c r="D83" s="218"/>
      <c r="E83" s="219">
        <f>E82-E80</f>
        <v>16141916083</v>
      </c>
      <c r="F83" s="154">
        <f>F82-F80</f>
        <v>9554301139</v>
      </c>
      <c r="G83" s="219">
        <f>G82-G80</f>
        <v>4841031072</v>
      </c>
      <c r="H83" s="154"/>
      <c r="I83" s="219">
        <f>I82-I80</f>
        <v>8957391412</v>
      </c>
      <c r="J83" s="154"/>
      <c r="K83" s="220"/>
      <c r="L83" s="219">
        <f>L82-L80</f>
        <v>16722193927</v>
      </c>
      <c r="M83" s="217">
        <f>M82-M80</f>
        <v>12571197335</v>
      </c>
      <c r="N83" s="217">
        <f>N82-N80</f>
        <v>10130475614</v>
      </c>
      <c r="O83" s="217">
        <f>O82-O80</f>
        <v>8074595211.7800007</v>
      </c>
      <c r="P83" s="217">
        <f>P82-P80</f>
        <v>4324261103</v>
      </c>
      <c r="Q83" s="217"/>
      <c r="R83" s="217"/>
      <c r="S83" s="217">
        <f>S82-S80</f>
        <v>9774550211</v>
      </c>
      <c r="T83" s="217">
        <f>T82-T80</f>
        <v>4737673134</v>
      </c>
      <c r="U83" s="217"/>
      <c r="V83" s="217">
        <f>V82-V80</f>
        <v>2275500435</v>
      </c>
      <c r="W83" s="219"/>
      <c r="X83" s="154"/>
      <c r="Y83" s="219"/>
      <c r="Z83" s="154"/>
      <c r="AA83" s="154"/>
      <c r="AB83" s="217"/>
      <c r="AC83" s="219"/>
      <c r="AD83" s="219"/>
      <c r="AE83" s="219"/>
      <c r="AF83" s="219"/>
      <c r="AG83" s="219"/>
      <c r="AH83" s="219"/>
      <c r="AI83" s="219"/>
    </row>
    <row r="84" spans="1:36">
      <c r="A84" s="150" t="s">
        <v>181</v>
      </c>
      <c r="C84" s="154"/>
      <c r="D84" s="218"/>
      <c r="E84" s="154">
        <v>1191449165</v>
      </c>
      <c r="F84" s="154">
        <v>2125148775</v>
      </c>
      <c r="G84" s="154">
        <v>2418567300</v>
      </c>
      <c r="H84" s="154"/>
      <c r="I84" s="154">
        <v>2531624348</v>
      </c>
      <c r="J84" s="154"/>
      <c r="K84" s="193"/>
      <c r="L84" s="154">
        <v>2961362496</v>
      </c>
      <c r="M84" s="154">
        <v>2356786250</v>
      </c>
      <c r="N84" s="154">
        <v>2571152010</v>
      </c>
      <c r="O84" s="217">
        <v>1995506003</v>
      </c>
      <c r="P84" s="154">
        <v>2192511382</v>
      </c>
      <c r="Q84" s="154"/>
      <c r="R84" s="219"/>
      <c r="S84" s="154">
        <v>1667239920</v>
      </c>
      <c r="T84" s="154">
        <v>2398504486</v>
      </c>
      <c r="U84" s="154"/>
      <c r="V84" s="154">
        <v>2453798431</v>
      </c>
      <c r="W84" s="154"/>
      <c r="X84" s="154"/>
      <c r="Y84" s="217"/>
      <c r="Z84" s="154"/>
      <c r="AA84" s="154"/>
      <c r="AB84" s="154"/>
      <c r="AC84" s="154"/>
      <c r="AD84" s="217"/>
      <c r="AE84" s="154"/>
      <c r="AF84" s="154"/>
      <c r="AG84" s="154"/>
      <c r="AH84" s="154"/>
      <c r="AI84" s="219"/>
    </row>
    <row r="85" spans="1:36">
      <c r="A85" s="150" t="s">
        <v>139</v>
      </c>
      <c r="C85" s="154"/>
      <c r="D85" s="218"/>
      <c r="E85" s="154">
        <f>E83+E84</f>
        <v>17333365248</v>
      </c>
      <c r="F85" s="154">
        <f>F83+F84</f>
        <v>11679449914</v>
      </c>
      <c r="G85" s="154">
        <f>G83+G84</f>
        <v>7259598372</v>
      </c>
      <c r="H85" s="154"/>
      <c r="I85" s="154">
        <f>I83+I84</f>
        <v>11489015760</v>
      </c>
      <c r="J85" s="193"/>
      <c r="K85" s="193"/>
      <c r="L85" s="154"/>
      <c r="M85" s="154">
        <f>M83+M84</f>
        <v>14927983585</v>
      </c>
      <c r="N85" s="154">
        <f>N83+N84</f>
        <v>12701627624</v>
      </c>
      <c r="O85" s="154">
        <f>O83+O84</f>
        <v>10070101214.780001</v>
      </c>
      <c r="P85" s="154">
        <f>P83+P84</f>
        <v>6516772485</v>
      </c>
      <c r="Q85" s="154"/>
      <c r="R85" s="154"/>
      <c r="S85" s="154">
        <f>S83+S84</f>
        <v>11441790131</v>
      </c>
      <c r="T85" s="154">
        <f>T83+T84</f>
        <v>7136177620</v>
      </c>
      <c r="U85" s="154"/>
      <c r="V85" s="154">
        <f>V83+V84</f>
        <v>4729298866</v>
      </c>
      <c r="W85" s="154"/>
      <c r="X85" s="154"/>
      <c r="Y85" s="217"/>
      <c r="Z85" s="219"/>
      <c r="AA85" s="219"/>
      <c r="AB85" s="154"/>
      <c r="AC85" s="154"/>
      <c r="AD85" s="219"/>
      <c r="AE85" s="219"/>
      <c r="AF85" s="219"/>
      <c r="AG85" s="219"/>
      <c r="AH85" s="219"/>
      <c r="AI85" s="219"/>
    </row>
    <row r="86" spans="1:36">
      <c r="A86" s="150" t="s">
        <v>407</v>
      </c>
      <c r="E86" s="154"/>
      <c r="F86" s="154"/>
      <c r="H86" s="217"/>
      <c r="I86" s="154"/>
      <c r="J86" s="193"/>
      <c r="K86" s="220"/>
      <c r="L86" s="154"/>
      <c r="M86" s="154"/>
      <c r="N86" s="154"/>
      <c r="P86" s="154"/>
      <c r="S86" s="219"/>
      <c r="T86" s="219"/>
      <c r="U86" s="154"/>
      <c r="V86" s="154">
        <f>V16+V50+V51+V59+V61</f>
        <v>4598596722</v>
      </c>
      <c r="X86" s="154"/>
      <c r="Z86" s="219"/>
      <c r="AB86" s="154"/>
      <c r="AG86" s="154"/>
      <c r="AH86" s="154"/>
      <c r="AJ86" s="219"/>
    </row>
    <row r="87" spans="1:36">
      <c r="C87" s="193">
        <v>8249167684</v>
      </c>
      <c r="F87" s="154"/>
      <c r="I87" s="219"/>
      <c r="K87" s="218"/>
      <c r="L87" s="154"/>
      <c r="R87" s="217" t="e">
        <f>R59+R61+R64+R67+R71+R75+#REF!+#REF!+#REF!+#REF!+#REF!+#REF!+#REF!+#REF!+#REF!</f>
        <v>#REF!</v>
      </c>
      <c r="S87" s="219"/>
      <c r="V87" s="154"/>
      <c r="X87" s="219"/>
      <c r="AD87" s="398" t="s">
        <v>473</v>
      </c>
      <c r="AE87" s="398"/>
    </row>
    <row r="88" spans="1:36">
      <c r="L88" s="154"/>
      <c r="Y88" s="154"/>
      <c r="AD88" s="169" t="s">
        <v>462</v>
      </c>
      <c r="AE88" s="176">
        <v>9061595</v>
      </c>
      <c r="AF88" s="399" t="s">
        <v>475</v>
      </c>
      <c r="AG88" s="400"/>
      <c r="AH88" s="222"/>
      <c r="AI88" s="169"/>
      <c r="AJ88" s="176"/>
    </row>
    <row r="89" spans="1:36">
      <c r="C89" s="150"/>
      <c r="D89" s="150"/>
      <c r="F89" s="395" t="s">
        <v>481</v>
      </c>
      <c r="G89" s="395"/>
      <c r="H89" s="395" t="s">
        <v>481</v>
      </c>
      <c r="I89" s="395"/>
      <c r="J89" s="395" t="s">
        <v>481</v>
      </c>
      <c r="K89" s="395"/>
      <c r="L89" s="395" t="s">
        <v>481</v>
      </c>
      <c r="M89" s="395"/>
      <c r="P89" s="395" t="s">
        <v>430</v>
      </c>
      <c r="Q89" s="395"/>
      <c r="R89" s="395"/>
      <c r="S89" s="395"/>
      <c r="T89" s="395"/>
      <c r="AD89" s="169" t="s">
        <v>463</v>
      </c>
      <c r="AE89" s="176">
        <v>17329877</v>
      </c>
      <c r="AF89" s="169" t="s">
        <v>474</v>
      </c>
      <c r="AG89" s="222">
        <v>29465088</v>
      </c>
      <c r="AH89" s="222"/>
      <c r="AI89" s="169"/>
      <c r="AJ89" s="176"/>
    </row>
    <row r="90" spans="1:36">
      <c r="F90" s="395" t="s">
        <v>482</v>
      </c>
      <c r="G90" s="395"/>
      <c r="H90" s="395" t="s">
        <v>504</v>
      </c>
      <c r="I90" s="395"/>
      <c r="J90" s="395" t="s">
        <v>508</v>
      </c>
      <c r="K90" s="395"/>
      <c r="L90" s="395" t="s">
        <v>515</v>
      </c>
      <c r="M90" s="395"/>
      <c r="O90" s="150" t="s">
        <v>375</v>
      </c>
      <c r="P90" s="397">
        <v>44544</v>
      </c>
      <c r="Q90" s="397"/>
      <c r="R90" s="397"/>
      <c r="S90" s="397"/>
      <c r="T90" s="397"/>
      <c r="U90" s="185"/>
      <c r="AD90" s="169" t="s">
        <v>464</v>
      </c>
      <c r="AE90" s="176">
        <v>6250000</v>
      </c>
      <c r="AF90" s="169"/>
      <c r="AG90" s="222"/>
      <c r="AH90" s="222"/>
      <c r="AI90" s="169"/>
      <c r="AJ90" s="176"/>
    </row>
    <row r="91" spans="1:36">
      <c r="F91" s="225" t="s">
        <v>233</v>
      </c>
      <c r="G91" s="225" t="s">
        <v>241</v>
      </c>
      <c r="H91" s="225" t="s">
        <v>233</v>
      </c>
      <c r="I91" s="225" t="s">
        <v>241</v>
      </c>
      <c r="J91" s="225" t="s">
        <v>233</v>
      </c>
      <c r="K91" s="225" t="s">
        <v>241</v>
      </c>
      <c r="L91" s="225" t="s">
        <v>233</v>
      </c>
      <c r="M91" s="225" t="s">
        <v>241</v>
      </c>
      <c r="P91" s="249" t="s">
        <v>443</v>
      </c>
      <c r="Q91" s="249"/>
      <c r="R91" s="249"/>
      <c r="S91" s="249" t="s">
        <v>444</v>
      </c>
      <c r="T91" s="249" t="s">
        <v>445</v>
      </c>
      <c r="U91" s="185"/>
      <c r="AD91" s="169" t="s">
        <v>465</v>
      </c>
      <c r="AE91" s="176">
        <v>6250000</v>
      </c>
      <c r="AF91" s="169"/>
      <c r="AG91" s="222"/>
      <c r="AH91" s="222"/>
      <c r="AI91" s="169"/>
      <c r="AJ91" s="176"/>
    </row>
    <row r="92" spans="1:36">
      <c r="C92" s="150"/>
      <c r="D92" s="150"/>
      <c r="F92" s="169" t="s">
        <v>483</v>
      </c>
      <c r="G92" s="176">
        <v>343636</v>
      </c>
      <c r="H92" s="169" t="s">
        <v>505</v>
      </c>
      <c r="I92" s="176">
        <v>27759800</v>
      </c>
      <c r="J92" s="169" t="s">
        <v>509</v>
      </c>
      <c r="K92" s="176">
        <v>26400000</v>
      </c>
      <c r="L92" s="169" t="s">
        <v>516</v>
      </c>
      <c r="M92" s="176">
        <v>2595000</v>
      </c>
      <c r="N92" s="247"/>
      <c r="O92" s="247" t="s">
        <v>376</v>
      </c>
      <c r="P92" s="250" t="s">
        <v>431</v>
      </c>
      <c r="Q92" s="250"/>
      <c r="R92" s="250"/>
      <c r="S92" s="250" t="s">
        <v>432</v>
      </c>
      <c r="T92" s="250">
        <v>720000000</v>
      </c>
      <c r="U92" s="247"/>
      <c r="V92" s="247"/>
      <c r="AD92" s="169" t="s">
        <v>466</v>
      </c>
      <c r="AE92" s="176">
        <v>16776235</v>
      </c>
      <c r="AF92" s="192"/>
      <c r="AG92" s="224"/>
      <c r="AH92" s="224"/>
      <c r="AI92" s="169"/>
      <c r="AJ92" s="176"/>
    </row>
    <row r="93" spans="1:36">
      <c r="C93" s="150"/>
      <c r="D93" s="150"/>
      <c r="F93" s="169" t="s">
        <v>484</v>
      </c>
      <c r="G93" s="176">
        <v>721636</v>
      </c>
      <c r="H93" s="169" t="s">
        <v>506</v>
      </c>
      <c r="I93" s="176">
        <v>27759800</v>
      </c>
      <c r="J93" s="169" t="s">
        <v>510</v>
      </c>
      <c r="K93" s="176">
        <v>3800000</v>
      </c>
      <c r="L93" s="169" t="s">
        <v>517</v>
      </c>
      <c r="M93" s="176">
        <v>5870050</v>
      </c>
      <c r="N93" s="247"/>
      <c r="O93" s="247"/>
      <c r="P93" s="250" t="s">
        <v>433</v>
      </c>
      <c r="Q93" s="250"/>
      <c r="R93" s="250"/>
      <c r="S93" s="250" t="s">
        <v>434</v>
      </c>
      <c r="T93" s="250">
        <v>207000000</v>
      </c>
      <c r="U93" s="247"/>
      <c r="V93" s="247"/>
      <c r="W93" s="395"/>
      <c r="X93" s="395"/>
      <c r="Y93" s="395"/>
      <c r="Z93" s="395"/>
      <c r="AD93" s="169" t="s">
        <v>467</v>
      </c>
      <c r="AE93" s="176">
        <v>9662500</v>
      </c>
      <c r="AG93" s="154"/>
      <c r="AH93" s="154"/>
      <c r="AI93" s="169"/>
      <c r="AJ93" s="176"/>
    </row>
    <row r="94" spans="1:36">
      <c r="C94" s="150"/>
      <c r="D94" s="150"/>
      <c r="F94" s="169" t="s">
        <v>485</v>
      </c>
      <c r="G94" s="176">
        <v>687272</v>
      </c>
      <c r="H94" s="169" t="s">
        <v>507</v>
      </c>
      <c r="I94" s="176">
        <v>27759800</v>
      </c>
      <c r="J94" s="169" t="s">
        <v>511</v>
      </c>
      <c r="K94" s="176">
        <v>2400000</v>
      </c>
      <c r="L94" s="169" t="s">
        <v>518</v>
      </c>
      <c r="M94" s="176">
        <v>2638810</v>
      </c>
      <c r="N94" s="247"/>
      <c r="O94" s="247"/>
      <c r="P94" s="250" t="s">
        <v>433</v>
      </c>
      <c r="Q94" s="250"/>
      <c r="R94" s="250"/>
      <c r="S94" s="250" t="s">
        <v>435</v>
      </c>
      <c r="T94" s="250">
        <v>202500000</v>
      </c>
      <c r="U94" s="247"/>
      <c r="V94" s="247"/>
      <c r="W94" s="398" t="s">
        <v>535</v>
      </c>
      <c r="X94" s="398"/>
      <c r="AD94" s="169" t="s">
        <v>468</v>
      </c>
      <c r="AE94" s="176">
        <v>5901551</v>
      </c>
      <c r="AG94" s="154"/>
      <c r="AH94" s="154"/>
      <c r="AI94" s="169"/>
      <c r="AJ94" s="176"/>
    </row>
    <row r="95" spans="1:36">
      <c r="C95" s="150"/>
      <c r="D95" s="150"/>
      <c r="F95" s="169" t="s">
        <v>486</v>
      </c>
      <c r="G95" s="176">
        <v>1080000</v>
      </c>
      <c r="H95" s="169"/>
      <c r="I95" s="176"/>
      <c r="J95" s="169" t="s">
        <v>512</v>
      </c>
      <c r="K95" s="176">
        <v>3000000</v>
      </c>
      <c r="L95" s="169" t="s">
        <v>519</v>
      </c>
      <c r="M95" s="176">
        <v>2832750</v>
      </c>
      <c r="N95" s="247"/>
      <c r="O95" s="247"/>
      <c r="P95" s="250" t="s">
        <v>236</v>
      </c>
      <c r="Q95" s="250"/>
      <c r="R95" s="250"/>
      <c r="S95" s="250" t="s">
        <v>436</v>
      </c>
      <c r="T95" s="250">
        <v>999999</v>
      </c>
      <c r="U95" s="247"/>
      <c r="V95" s="247"/>
      <c r="W95" s="225" t="s">
        <v>233</v>
      </c>
      <c r="X95" s="225" t="s">
        <v>241</v>
      </c>
      <c r="Y95" s="270"/>
      <c r="Z95" s="225"/>
      <c r="AD95" s="169" t="s">
        <v>469</v>
      </c>
      <c r="AE95" s="176">
        <v>21743422</v>
      </c>
      <c r="AG95" s="154"/>
      <c r="AH95" s="154"/>
      <c r="AI95" s="169"/>
      <c r="AJ95" s="176"/>
    </row>
    <row r="96" spans="1:36">
      <c r="C96" s="150"/>
      <c r="D96" s="150"/>
      <c r="F96" s="169" t="s">
        <v>487</v>
      </c>
      <c r="G96" s="176">
        <v>687272</v>
      </c>
      <c r="H96" s="169" t="s">
        <v>241</v>
      </c>
      <c r="I96" s="176">
        <f>SUM(I92:I95)</f>
        <v>83279400</v>
      </c>
      <c r="J96" s="169" t="s">
        <v>513</v>
      </c>
      <c r="K96" s="176">
        <v>1000000</v>
      </c>
      <c r="L96" s="169" t="s">
        <v>520</v>
      </c>
      <c r="M96" s="176">
        <v>4366667</v>
      </c>
      <c r="N96" s="247"/>
      <c r="O96" s="247"/>
      <c r="P96" s="250" t="s">
        <v>437</v>
      </c>
      <c r="Q96" s="250"/>
      <c r="R96" s="250"/>
      <c r="S96" s="250" t="s">
        <v>438</v>
      </c>
      <c r="T96" s="250">
        <v>1619800</v>
      </c>
      <c r="U96" s="247"/>
      <c r="V96" s="247"/>
      <c r="W96" s="226" t="s">
        <v>531</v>
      </c>
      <c r="X96" s="176">
        <v>5000000</v>
      </c>
      <c r="Y96" s="271"/>
      <c r="Z96" s="169"/>
      <c r="AD96" s="169" t="s">
        <v>470</v>
      </c>
      <c r="AE96" s="176">
        <v>7750000</v>
      </c>
      <c r="AG96" s="154"/>
      <c r="AH96" s="154"/>
      <c r="AI96" s="169"/>
      <c r="AJ96" s="176"/>
    </row>
    <row r="97" spans="3:42">
      <c r="C97" s="150"/>
      <c r="D97" s="150"/>
      <c r="F97" s="169" t="s">
        <v>488</v>
      </c>
      <c r="G97" s="176">
        <v>756000</v>
      </c>
      <c r="H97" s="154"/>
      <c r="J97" s="169" t="s">
        <v>514</v>
      </c>
      <c r="K97" s="176">
        <v>3330800</v>
      </c>
      <c r="L97" s="169" t="s">
        <v>521</v>
      </c>
      <c r="M97" s="176">
        <v>711146</v>
      </c>
      <c r="N97" s="247"/>
      <c r="O97" s="247"/>
      <c r="P97" s="250" t="s">
        <v>437</v>
      </c>
      <c r="Q97" s="250"/>
      <c r="R97" s="250"/>
      <c r="S97" s="250" t="s">
        <v>439</v>
      </c>
      <c r="T97" s="250">
        <v>5617950</v>
      </c>
      <c r="U97" s="247"/>
      <c r="V97" s="247"/>
      <c r="W97" s="226" t="s">
        <v>532</v>
      </c>
      <c r="X97" s="176">
        <v>432000</v>
      </c>
      <c r="Y97" s="271"/>
      <c r="Z97" s="169"/>
      <c r="AD97" s="169" t="s">
        <v>471</v>
      </c>
      <c r="AE97" s="176">
        <v>28065453</v>
      </c>
      <c r="AI97" s="169"/>
      <c r="AJ97" s="176"/>
    </row>
    <row r="98" spans="3:42">
      <c r="C98" s="150"/>
      <c r="D98" s="150"/>
      <c r="F98" s="169" t="s">
        <v>491</v>
      </c>
      <c r="G98" s="176">
        <v>1905000</v>
      </c>
      <c r="H98" s="154"/>
      <c r="I98" s="154"/>
      <c r="J98" s="169"/>
      <c r="K98" s="176"/>
      <c r="L98" s="169" t="s">
        <v>522</v>
      </c>
      <c r="M98" s="176">
        <v>432000</v>
      </c>
      <c r="O98" s="228"/>
      <c r="P98" s="396" t="s">
        <v>446</v>
      </c>
      <c r="Q98" s="396"/>
      <c r="R98" s="396"/>
      <c r="S98" s="396"/>
      <c r="T98" s="251">
        <f ca="1">SUM(T92:T104)</f>
        <v>1176654249</v>
      </c>
      <c r="U98" s="228"/>
      <c r="V98" s="229"/>
      <c r="W98" s="169" t="s">
        <v>533</v>
      </c>
      <c r="X98" s="176">
        <v>1506662</v>
      </c>
      <c r="Y98" s="271"/>
      <c r="Z98" s="169"/>
      <c r="AD98" s="169" t="s">
        <v>128</v>
      </c>
      <c r="AE98" s="176">
        <v>70661200</v>
      </c>
      <c r="AI98" s="169"/>
      <c r="AJ98" s="176"/>
      <c r="AN98" s="150" t="s">
        <v>108</v>
      </c>
    </row>
    <row r="99" spans="3:42">
      <c r="C99" s="150"/>
      <c r="D99" s="150"/>
      <c r="F99" s="169"/>
      <c r="G99" s="176"/>
      <c r="H99" s="154"/>
      <c r="I99" s="154"/>
      <c r="J99" s="169"/>
      <c r="K99" s="176"/>
      <c r="L99" s="169" t="s">
        <v>523</v>
      </c>
      <c r="M99" s="176">
        <v>1460000</v>
      </c>
      <c r="O99" s="228"/>
      <c r="P99" s="266"/>
      <c r="Q99" s="266"/>
      <c r="R99" s="266"/>
      <c r="S99" s="266"/>
      <c r="T99" s="251"/>
      <c r="U99" s="228"/>
      <c r="V99" s="229"/>
      <c r="W99" s="169" t="s">
        <v>534</v>
      </c>
      <c r="X99" s="176">
        <v>4745000</v>
      </c>
      <c r="Y99" s="271"/>
      <c r="Z99" s="169"/>
      <c r="AD99" s="169"/>
      <c r="AE99" s="176"/>
      <c r="AI99" s="169"/>
      <c r="AJ99" s="176"/>
    </row>
    <row r="100" spans="3:42">
      <c r="C100" s="150"/>
      <c r="D100" s="150"/>
      <c r="F100" s="169"/>
      <c r="G100" s="176"/>
      <c r="H100" s="154"/>
      <c r="I100" s="154"/>
      <c r="J100" s="169"/>
      <c r="K100" s="176"/>
      <c r="L100" s="169" t="s">
        <v>524</v>
      </c>
      <c r="M100" s="176">
        <v>1089999</v>
      </c>
      <c r="O100" s="228"/>
      <c r="P100" s="266"/>
      <c r="Q100" s="266"/>
      <c r="R100" s="266"/>
      <c r="S100" s="266"/>
      <c r="T100" s="251"/>
      <c r="U100" s="228"/>
      <c r="V100" s="229"/>
      <c r="W100" s="169"/>
      <c r="X100" s="176"/>
      <c r="Y100" s="271"/>
      <c r="Z100" s="169"/>
      <c r="AD100" s="169"/>
      <c r="AE100" s="176"/>
      <c r="AI100" s="169"/>
      <c r="AJ100" s="176"/>
    </row>
    <row r="101" spans="3:42">
      <c r="C101" s="150"/>
      <c r="D101" s="150"/>
      <c r="F101" s="169"/>
      <c r="G101" s="176"/>
      <c r="H101" s="154"/>
      <c r="I101" s="154"/>
      <c r="J101" s="169"/>
      <c r="K101" s="176"/>
      <c r="L101" s="169" t="s">
        <v>525</v>
      </c>
      <c r="M101" s="176">
        <v>500000</v>
      </c>
      <c r="O101" s="228"/>
      <c r="P101" s="266"/>
      <c r="Q101" s="266"/>
      <c r="R101" s="266"/>
      <c r="S101" s="266"/>
      <c r="T101" s="251"/>
      <c r="U101" s="228"/>
      <c r="V101" s="229"/>
      <c r="W101" s="169" t="s">
        <v>241</v>
      </c>
      <c r="X101" s="272">
        <f>SUM(X96:X100)</f>
        <v>11683662</v>
      </c>
      <c r="Y101" s="154"/>
      <c r="AD101" s="169"/>
      <c r="AE101" s="176"/>
      <c r="AI101" s="169"/>
      <c r="AJ101" s="176"/>
    </row>
    <row r="102" spans="3:42">
      <c r="C102" s="150"/>
      <c r="D102" s="150"/>
      <c r="F102" s="169" t="s">
        <v>489</v>
      </c>
      <c r="G102" s="176">
        <v>3293250</v>
      </c>
      <c r="I102" s="154"/>
      <c r="J102" s="169"/>
      <c r="K102" s="176"/>
      <c r="L102" s="169" t="s">
        <v>526</v>
      </c>
      <c r="M102" s="176">
        <v>15000000</v>
      </c>
      <c r="N102" s="247"/>
      <c r="O102" s="247"/>
      <c r="P102" s="250" t="s">
        <v>440</v>
      </c>
      <c r="Q102" s="250"/>
      <c r="R102" s="250"/>
      <c r="S102" s="250" t="s">
        <v>441</v>
      </c>
      <c r="T102" s="250">
        <v>32809000</v>
      </c>
      <c r="U102" s="247"/>
      <c r="V102" s="247"/>
      <c r="W102" s="226"/>
      <c r="X102" s="169"/>
      <c r="Y102" s="176"/>
      <c r="Z102" s="169"/>
      <c r="AD102" s="169" t="s">
        <v>472</v>
      </c>
      <c r="AE102" s="176">
        <v>17255625</v>
      </c>
      <c r="AI102" s="169"/>
      <c r="AJ102" s="176"/>
      <c r="AM102" s="150" t="s">
        <v>111</v>
      </c>
    </row>
    <row r="103" spans="3:42">
      <c r="C103" s="150"/>
      <c r="D103" s="150"/>
      <c r="F103" s="169"/>
      <c r="G103" s="176"/>
      <c r="I103" s="154"/>
      <c r="J103" s="169"/>
      <c r="K103" s="176"/>
      <c r="L103" s="169"/>
      <c r="M103" s="176"/>
      <c r="N103" s="247"/>
      <c r="O103" s="247"/>
      <c r="P103" s="250"/>
      <c r="Q103" s="250"/>
      <c r="R103" s="250"/>
      <c r="S103" s="250"/>
      <c r="T103" s="250"/>
      <c r="U103" s="247"/>
      <c r="V103" s="247"/>
      <c r="W103" s="226"/>
      <c r="X103" s="169"/>
      <c r="Y103" s="176"/>
      <c r="Z103" s="169"/>
      <c r="AD103" s="169"/>
      <c r="AE103" s="176"/>
      <c r="AI103" s="169"/>
      <c r="AJ103" s="176"/>
    </row>
    <row r="104" spans="3:42">
      <c r="C104" s="150"/>
      <c r="D104" s="150"/>
      <c r="E104" s="150" t="s">
        <v>111</v>
      </c>
      <c r="F104" s="169" t="s">
        <v>490</v>
      </c>
      <c r="G104" s="176">
        <v>5729600</v>
      </c>
      <c r="I104" s="154"/>
      <c r="J104" s="169" t="s">
        <v>241</v>
      </c>
      <c r="K104" s="176">
        <f>SUM(K92:K102)</f>
        <v>39930800</v>
      </c>
      <c r="L104" s="169" t="s">
        <v>241</v>
      </c>
      <c r="M104" s="176">
        <f>SUM(M92:M102)</f>
        <v>37496422</v>
      </c>
      <c r="N104" s="247"/>
      <c r="O104" s="247"/>
      <c r="P104" s="250" t="s">
        <v>440</v>
      </c>
      <c r="Q104" s="250"/>
      <c r="R104" s="250"/>
      <c r="S104" s="250" t="s">
        <v>442</v>
      </c>
      <c r="T104" s="250">
        <v>6107500</v>
      </c>
      <c r="U104" s="247"/>
      <c r="V104" s="247"/>
      <c r="W104" s="226"/>
      <c r="X104" s="169"/>
      <c r="Y104" s="176"/>
      <c r="Z104" s="169"/>
      <c r="AD104" s="169" t="s">
        <v>130</v>
      </c>
      <c r="AE104" s="176">
        <v>131535483</v>
      </c>
      <c r="AI104" s="169"/>
      <c r="AJ104" s="176"/>
    </row>
    <row r="105" spans="3:42">
      <c r="C105" s="150"/>
      <c r="D105" s="154"/>
      <c r="E105" s="154">
        <v>3913100</v>
      </c>
      <c r="F105" s="169"/>
      <c r="G105" s="176"/>
      <c r="I105" s="154"/>
      <c r="J105" s="193"/>
      <c r="O105" s="228"/>
      <c r="P105" s="248"/>
      <c r="Q105" s="248"/>
      <c r="R105" s="248"/>
      <c r="S105" s="248"/>
      <c r="T105" s="248"/>
      <c r="U105" s="248"/>
      <c r="V105" s="228"/>
      <c r="W105" s="248"/>
      <c r="X105" s="248"/>
      <c r="Y105" s="248"/>
      <c r="Z105" s="154"/>
      <c r="AA105" s="154"/>
      <c r="AD105" s="169" t="s">
        <v>128</v>
      </c>
      <c r="AE105" s="176">
        <v>12601000</v>
      </c>
      <c r="AI105" s="169"/>
      <c r="AJ105" s="176"/>
    </row>
    <row r="106" spans="3:42">
      <c r="D106" s="193" t="s">
        <v>111</v>
      </c>
      <c r="E106" s="154">
        <v>5857200</v>
      </c>
      <c r="F106" s="169" t="s">
        <v>241</v>
      </c>
      <c r="G106" s="176">
        <f>SUM(G92:G105)</f>
        <v>15203666</v>
      </c>
      <c r="H106" s="154"/>
      <c r="I106" s="154"/>
      <c r="J106" s="193"/>
      <c r="P106" s="247"/>
      <c r="Q106" s="247"/>
      <c r="R106" s="247"/>
      <c r="S106" s="247"/>
      <c r="T106" s="154"/>
      <c r="U106" s="154"/>
      <c r="W106" s="154"/>
      <c r="X106" s="154"/>
      <c r="Y106" s="154"/>
      <c r="Z106" s="154"/>
      <c r="AA106" s="154"/>
      <c r="AD106" s="169"/>
      <c r="AE106" s="176"/>
      <c r="AI106" s="192"/>
      <c r="AJ106" s="227"/>
    </row>
    <row r="107" spans="3:42">
      <c r="D107" s="193"/>
      <c r="E107" s="154">
        <v>4120000</v>
      </c>
      <c r="G107" s="154"/>
      <c r="H107" s="154"/>
      <c r="I107" s="154"/>
      <c r="J107" s="193"/>
      <c r="P107" s="154"/>
      <c r="Q107" s="154"/>
      <c r="R107" s="154"/>
      <c r="S107" s="154"/>
      <c r="T107" s="154"/>
      <c r="U107" s="154"/>
      <c r="W107" s="248"/>
      <c r="X107" s="248"/>
      <c r="Y107" s="248"/>
      <c r="Z107" s="154"/>
      <c r="AA107" s="154"/>
      <c r="AD107" s="192" t="s">
        <v>241</v>
      </c>
      <c r="AE107" s="227">
        <f>SUM(AE88:AE105)</f>
        <v>360843941</v>
      </c>
      <c r="AJ107" s="154"/>
    </row>
    <row r="108" spans="3:42">
      <c r="D108" s="193"/>
      <c r="E108" s="154">
        <v>1750000</v>
      </c>
      <c r="G108" s="154"/>
      <c r="H108" s="154"/>
      <c r="I108" s="154"/>
      <c r="J108" s="193"/>
      <c r="L108" s="154"/>
      <c r="M108" s="154"/>
      <c r="P108" s="154"/>
      <c r="Q108" s="154"/>
      <c r="R108" s="154"/>
      <c r="S108" s="154"/>
      <c r="T108" s="154"/>
      <c r="U108" s="154"/>
      <c r="W108" s="154"/>
      <c r="X108" s="154"/>
      <c r="Y108" s="154"/>
      <c r="Z108" s="154"/>
      <c r="AA108" s="154"/>
      <c r="AJ108" s="154"/>
      <c r="AL108" s="150" t="s">
        <v>112</v>
      </c>
    </row>
    <row r="109" spans="3:42">
      <c r="D109" s="193"/>
      <c r="E109" s="154">
        <v>1350000</v>
      </c>
      <c r="H109" s="154"/>
      <c r="I109" s="154"/>
      <c r="K109" s="193">
        <v>210466616</v>
      </c>
      <c r="L109" s="154">
        <v>883437017</v>
      </c>
      <c r="M109" s="154">
        <v>157496882</v>
      </c>
      <c r="N109" s="154"/>
      <c r="O109" s="154"/>
      <c r="P109" s="154"/>
      <c r="Q109" s="154"/>
      <c r="R109" s="154"/>
      <c r="S109" s="154"/>
      <c r="T109" s="154"/>
      <c r="U109" s="154"/>
      <c r="W109" s="248"/>
      <c r="X109" s="248"/>
      <c r="Y109" s="248"/>
      <c r="Z109" s="154"/>
      <c r="AA109" s="154"/>
      <c r="AD109" s="150" t="s">
        <v>415</v>
      </c>
      <c r="AF109" s="154">
        <v>1000000000</v>
      </c>
      <c r="AG109" s="154">
        <v>202787778</v>
      </c>
      <c r="AH109" s="154">
        <v>168013836</v>
      </c>
      <c r="AI109" s="154">
        <v>88797176</v>
      </c>
      <c r="AJ109" s="154">
        <v>287208700</v>
      </c>
      <c r="AP109" s="150" t="s">
        <v>108</v>
      </c>
    </row>
    <row r="110" spans="3:42">
      <c r="D110" s="193"/>
      <c r="E110" s="154">
        <v>27759800</v>
      </c>
      <c r="H110" s="154"/>
      <c r="I110" s="154"/>
      <c r="K110" s="193" t="e">
        <f ca="1">[3]!terbilang(K109)</f>
        <v>#NAME?</v>
      </c>
      <c r="L110" s="193" t="e">
        <f ca="1">[3]!terbilang(L109)</f>
        <v>#NAME?</v>
      </c>
      <c r="M110" s="193" t="e">
        <f ca="1">[3]!terbilang(M109)</f>
        <v>#NAME?</v>
      </c>
      <c r="N110" s="154"/>
      <c r="O110" s="154"/>
      <c r="P110" s="154"/>
      <c r="Q110" s="154"/>
      <c r="R110" s="154"/>
      <c r="S110" s="154"/>
      <c r="T110" s="154"/>
      <c r="U110" s="154"/>
      <c r="W110" s="154"/>
      <c r="X110" s="154"/>
      <c r="Y110" s="154"/>
      <c r="Z110" s="154"/>
      <c r="AA110" s="154"/>
      <c r="AE110" s="154">
        <v>160312320</v>
      </c>
      <c r="AF110" s="154" t="e">
        <f ca="1">[3]!terbilang(AF109)</f>
        <v>#NAME?</v>
      </c>
      <c r="AG110" s="154" t="e">
        <f ca="1">[3]!terbilang(AG109)</f>
        <v>#NAME?</v>
      </c>
      <c r="AH110" s="154" t="e">
        <f ca="1">[3]!terbilang(AH109)</f>
        <v>#NAME?</v>
      </c>
      <c r="AI110" s="154" t="e">
        <f ca="1">[3]!terbilang(AI109)</f>
        <v>#NAME?</v>
      </c>
      <c r="AJ110" s="154" t="e">
        <f ca="1">[3]!terbilang(AJ109)</f>
        <v>#NAME?</v>
      </c>
    </row>
    <row r="111" spans="3:42">
      <c r="C111" s="150"/>
      <c r="D111" s="154"/>
      <c r="E111" s="154">
        <v>27759800</v>
      </c>
      <c r="H111" s="154"/>
      <c r="I111" s="154"/>
      <c r="K111" s="193">
        <v>13153375</v>
      </c>
      <c r="L111" s="154">
        <v>11636742</v>
      </c>
      <c r="M111" s="154">
        <v>6384387</v>
      </c>
      <c r="N111" s="154"/>
      <c r="O111" s="154"/>
      <c r="P111" s="154"/>
      <c r="Q111" s="154"/>
      <c r="R111" s="154"/>
      <c r="S111" s="154"/>
      <c r="T111" s="154"/>
      <c r="U111" s="154"/>
      <c r="W111" s="248"/>
      <c r="X111" s="154"/>
      <c r="Y111" s="154"/>
      <c r="Z111" s="154"/>
      <c r="AA111" s="154"/>
      <c r="AE111" s="154" t="e">
        <f ca="1">[3]!terbilang(AE110)</f>
        <v>#NAME?</v>
      </c>
      <c r="AF111" s="154"/>
      <c r="AG111" s="154"/>
      <c r="AH111" s="154"/>
      <c r="AI111" s="154"/>
      <c r="AJ111" s="154"/>
    </row>
    <row r="112" spans="3:42">
      <c r="C112" s="150"/>
      <c r="D112" s="154"/>
      <c r="E112" s="154">
        <v>27759800</v>
      </c>
      <c r="G112" s="154">
        <v>2941161888</v>
      </c>
      <c r="H112" s="154"/>
      <c r="I112" s="154">
        <v>500000000</v>
      </c>
      <c r="J112" s="193"/>
      <c r="K112" s="193" t="e">
        <f ca="1">[3]!terbilang(K111)</f>
        <v>#NAME?</v>
      </c>
      <c r="L112" s="193" t="e">
        <f ca="1">[3]!terbilang(L111)</f>
        <v>#NAME?</v>
      </c>
      <c r="M112" s="193" t="e">
        <f ca="1">[3]!terbilang(M111)</f>
        <v>#NAME?</v>
      </c>
      <c r="N112" s="193"/>
      <c r="O112" s="193"/>
      <c r="P112" s="193"/>
      <c r="Q112" s="154"/>
      <c r="R112" s="154"/>
      <c r="S112" s="154"/>
      <c r="T112" s="154"/>
      <c r="U112" s="154"/>
      <c r="W112" s="154"/>
      <c r="X112" s="154"/>
      <c r="Y112" s="154"/>
      <c r="Z112" s="154"/>
      <c r="AA112" s="154"/>
      <c r="AE112" s="154">
        <v>17329877</v>
      </c>
      <c r="AF112" s="154"/>
      <c r="AG112" s="154"/>
      <c r="AH112" s="154"/>
      <c r="AI112" s="154"/>
      <c r="AJ112" s="154"/>
    </row>
    <row r="113" spans="3:36">
      <c r="D113" s="193"/>
      <c r="F113" s="219"/>
      <c r="G113" s="154" t="e">
        <f ca="1">[3]!terbilang(G112)</f>
        <v>#NAME?</v>
      </c>
      <c r="H113" s="154">
        <v>43053981</v>
      </c>
      <c r="I113" s="154" t="e">
        <f ca="1">[3]!terbilang(I112)</f>
        <v>#NAME?</v>
      </c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W113" s="154"/>
      <c r="X113" s="154"/>
      <c r="Y113" s="154"/>
      <c r="Z113" s="154"/>
      <c r="AA113" s="154"/>
      <c r="AE113" s="154" t="e">
        <f ca="1">[3]!terbilang(AE112)</f>
        <v>#NAME?</v>
      </c>
      <c r="AF113" s="154"/>
      <c r="AG113" s="154"/>
      <c r="AH113" s="154"/>
      <c r="AI113" s="154"/>
      <c r="AJ113" s="154"/>
    </row>
    <row r="114" spans="3:36">
      <c r="G114" s="154"/>
      <c r="H114" s="193" t="e">
        <f ca="1">[3]!terbilang(H113)</f>
        <v>#NAME?</v>
      </c>
      <c r="I114" s="193">
        <v>1089999</v>
      </c>
      <c r="J114" s="193"/>
      <c r="K114" s="193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W114" s="248"/>
      <c r="X114" s="248"/>
      <c r="Y114" s="248"/>
      <c r="Z114" s="248"/>
      <c r="AA114" s="154"/>
      <c r="AE114" s="154"/>
      <c r="AF114" s="154"/>
      <c r="AG114" s="154"/>
      <c r="AH114" s="154"/>
      <c r="AI114" s="154"/>
      <c r="AJ114" s="154"/>
    </row>
    <row r="115" spans="3:36">
      <c r="G115" s="154"/>
      <c r="H115" s="154"/>
      <c r="I115" s="154" t="e">
        <f ca="1">[3]!terbilang(I114)</f>
        <v>#NAME?</v>
      </c>
      <c r="J115" s="154"/>
      <c r="K115" s="154"/>
      <c r="L115" s="154"/>
      <c r="M115" s="154"/>
      <c r="N115" s="154"/>
      <c r="O115" s="154"/>
      <c r="P115" s="154">
        <v>595314905</v>
      </c>
      <c r="Q115" s="154">
        <v>168164602</v>
      </c>
      <c r="R115" s="154">
        <v>1713440499</v>
      </c>
      <c r="S115" s="154">
        <v>10927943</v>
      </c>
      <c r="T115" s="154">
        <v>4488989910</v>
      </c>
      <c r="U115" s="154"/>
      <c r="W115" s="154"/>
      <c r="X115" s="154"/>
      <c r="Y115" s="154"/>
      <c r="Z115" s="154"/>
      <c r="AA115" s="154"/>
      <c r="AB115" s="154"/>
      <c r="AE115" s="154"/>
      <c r="AF115" s="154"/>
      <c r="AG115" s="154"/>
      <c r="AH115" s="154"/>
      <c r="AI115" s="154"/>
      <c r="AJ115" s="154"/>
    </row>
    <row r="116" spans="3:36">
      <c r="G116" s="154"/>
      <c r="H116" s="193"/>
      <c r="I116" s="154"/>
      <c r="J116" s="154"/>
      <c r="K116" s="154"/>
      <c r="L116" s="154"/>
      <c r="M116" s="154"/>
      <c r="P116" s="154" t="e">
        <f ca="1">[3]!terbilang(P115)</f>
        <v>#NAME?</v>
      </c>
      <c r="Q116" s="154" t="e">
        <f ca="1">[3]!terbilang(Q115)</f>
        <v>#NAME?</v>
      </c>
      <c r="R116" s="154" t="e">
        <f ca="1">[3]!terbilang(R115)</f>
        <v>#NAME?</v>
      </c>
      <c r="S116" s="154" t="e">
        <f ca="1">[3]!terbilang(S115)</f>
        <v>#NAME?</v>
      </c>
      <c r="T116" s="154" t="e">
        <f ca="1">[3]!terbilang(T115)</f>
        <v>#NAME?</v>
      </c>
      <c r="U116" s="154"/>
      <c r="W116" s="248"/>
      <c r="X116" s="248"/>
      <c r="Y116" s="248"/>
      <c r="Z116" s="248"/>
      <c r="AA116" s="154"/>
      <c r="AB116" s="154"/>
      <c r="AE116" s="154"/>
      <c r="AF116" s="154"/>
      <c r="AG116" s="154"/>
      <c r="AH116" s="154"/>
      <c r="AI116" s="154"/>
      <c r="AJ116" s="154"/>
    </row>
    <row r="117" spans="3:36">
      <c r="G117" s="154"/>
      <c r="H117" s="154"/>
      <c r="I117" s="154"/>
      <c r="J117" s="154"/>
      <c r="K117" s="154"/>
      <c r="L117" s="154"/>
      <c r="P117" s="154"/>
      <c r="Q117" s="154"/>
      <c r="R117" s="154"/>
      <c r="S117" s="154"/>
      <c r="T117" s="154"/>
      <c r="U117" s="154"/>
      <c r="X117" s="154"/>
      <c r="Y117" s="154"/>
      <c r="Z117" s="154"/>
      <c r="AA117" s="154"/>
      <c r="AB117" s="154"/>
      <c r="AF117" s="154"/>
      <c r="AG117" s="154"/>
      <c r="AH117" s="154"/>
      <c r="AI117" s="154"/>
      <c r="AJ117" s="154"/>
    </row>
    <row r="118" spans="3:36">
      <c r="G118" s="154"/>
      <c r="H118" s="154"/>
      <c r="I118" s="154"/>
      <c r="J118" s="154"/>
      <c r="K118" s="154"/>
      <c r="L118" s="154"/>
      <c r="P118" s="154">
        <v>29677211</v>
      </c>
      <c r="Q118" s="154">
        <v>112540482</v>
      </c>
      <c r="W118" s="154"/>
      <c r="X118" s="154">
        <v>7823406</v>
      </c>
      <c r="Y118" s="154">
        <v>9746278</v>
      </c>
      <c r="Z118" s="154">
        <v>1297600</v>
      </c>
      <c r="AA118" s="154"/>
      <c r="AB118" s="154"/>
      <c r="AD118" s="150">
        <v>61928963</v>
      </c>
      <c r="AE118" s="150">
        <v>37466006</v>
      </c>
      <c r="AF118" s="154"/>
      <c r="AG118" s="154"/>
      <c r="AH118" s="154"/>
      <c r="AI118" s="154"/>
      <c r="AJ118" s="154"/>
    </row>
    <row r="119" spans="3:36">
      <c r="D119" s="193">
        <v>981505184</v>
      </c>
      <c r="E119" s="154">
        <v>6073063</v>
      </c>
      <c r="F119" s="154">
        <v>3912639567</v>
      </c>
      <c r="G119" s="154">
        <v>25470804</v>
      </c>
      <c r="H119" s="154"/>
      <c r="I119" s="154"/>
      <c r="J119" s="193"/>
      <c r="K119" s="193"/>
      <c r="L119" s="154"/>
      <c r="P119" s="154" t="e">
        <f ca="1">[3]!terbilang(P118)</f>
        <v>#NAME?</v>
      </c>
      <c r="Q119" s="154" t="e">
        <f ca="1">[3]!terbilang(Q118)</f>
        <v>#NAME?</v>
      </c>
      <c r="R119" s="185"/>
      <c r="T119" s="154"/>
      <c r="W119" s="248"/>
      <c r="X119" s="248" t="e">
        <f ca="1">[3]!terbilang(X118)</f>
        <v>#NAME?</v>
      </c>
      <c r="Y119" s="248" t="e">
        <f ca="1">[3]!terbilang(Y118)</f>
        <v>#NAME?</v>
      </c>
      <c r="Z119" s="248" t="e">
        <f ca="1">[3]!terbilang(Z118)</f>
        <v>#NAME?</v>
      </c>
      <c r="AA119" s="154"/>
      <c r="AB119" s="154"/>
      <c r="AD119" s="150" t="e">
        <f ca="1">[3]!terbilang(AD118)</f>
        <v>#NAME?</v>
      </c>
      <c r="AE119" s="150" t="e">
        <f ca="1">[3]!terbilang(AE118)</f>
        <v>#NAME?</v>
      </c>
    </row>
    <row r="120" spans="3:36">
      <c r="D120" s="193" t="e">
        <f ca="1">[3]!terbilang(D119)</f>
        <v>#NAME?</v>
      </c>
      <c r="E120" s="193" t="e">
        <f ca="1">[3]!terbilang(E119)</f>
        <v>#NAME?</v>
      </c>
      <c r="F120" s="193" t="e">
        <f ca="1">[3]!terbilang(F119)</f>
        <v>#NAME?</v>
      </c>
      <c r="G120" s="193" t="e">
        <f ca="1">[3]!terbilang(G119)</f>
        <v>#NAME?</v>
      </c>
      <c r="H120" s="154"/>
      <c r="I120" s="154"/>
      <c r="J120" s="154"/>
      <c r="K120" s="154"/>
      <c r="L120" s="154"/>
      <c r="P120" s="154"/>
      <c r="R120" s="185"/>
      <c r="T120" s="154"/>
      <c r="W120" s="154"/>
      <c r="X120" s="154">
        <v>2483712123</v>
      </c>
      <c r="Y120" s="154">
        <v>14798785</v>
      </c>
      <c r="Z120" s="154">
        <v>4834963210</v>
      </c>
      <c r="AA120" s="154"/>
      <c r="AB120" s="154"/>
    </row>
    <row r="121" spans="3:36">
      <c r="C121" s="150"/>
      <c r="D121" s="193"/>
      <c r="E121" s="154"/>
      <c r="F121" s="154"/>
      <c r="G121" s="154"/>
      <c r="H121" s="154"/>
      <c r="I121" s="154"/>
      <c r="J121" s="193"/>
      <c r="K121" s="193"/>
      <c r="L121" s="154"/>
      <c r="P121" s="154">
        <v>4075000</v>
      </c>
      <c r="Q121" s="154">
        <v>32721000</v>
      </c>
      <c r="R121" s="154"/>
      <c r="T121" s="154"/>
      <c r="W121" s="248"/>
      <c r="X121" s="248" t="e">
        <f ca="1">[3]!terbilang(X120)</f>
        <v>#NAME?</v>
      </c>
      <c r="Y121" s="248" t="e">
        <f ca="1">[3]!terbilang(Y120)</f>
        <v>#NAME?</v>
      </c>
      <c r="Z121" s="248" t="e">
        <f ca="1">[3]!terbilang(Z120)</f>
        <v>#NAME?</v>
      </c>
      <c r="AA121" s="154"/>
      <c r="AB121" s="154"/>
      <c r="AC121" s="154"/>
      <c r="AD121" s="154">
        <v>65762290</v>
      </c>
      <c r="AE121" s="154"/>
      <c r="AF121" s="154"/>
      <c r="AG121" s="154"/>
      <c r="AH121" s="154"/>
    </row>
    <row r="122" spans="3:36">
      <c r="C122" s="150"/>
      <c r="D122" s="193"/>
      <c r="E122" s="193"/>
      <c r="F122" s="193"/>
      <c r="G122" s="193"/>
      <c r="H122" s="154"/>
      <c r="I122" s="154"/>
      <c r="J122" s="154"/>
      <c r="K122" s="154"/>
      <c r="L122" s="154"/>
      <c r="P122" s="154" t="e">
        <f ca="1">[3]!terbilang(P121)</f>
        <v>#NAME?</v>
      </c>
      <c r="Q122" s="154" t="e">
        <f ca="1">[3]!terbilang(Q121)</f>
        <v>#NAME?</v>
      </c>
      <c r="R122" s="154"/>
      <c r="T122" s="154"/>
      <c r="W122" s="154"/>
      <c r="X122" s="154">
        <v>38404088</v>
      </c>
      <c r="Y122" s="154"/>
      <c r="Z122" s="154"/>
      <c r="AA122" s="154"/>
      <c r="AB122" s="154"/>
      <c r="AD122" s="150" t="e">
        <f ca="1">[3]!terbilang(AD121)</f>
        <v>#NAME?</v>
      </c>
      <c r="AE122" s="150" t="e">
        <f ca="1">[3]!terbilang(AE121)</f>
        <v>#NAME?</v>
      </c>
      <c r="AG122" s="154"/>
      <c r="AH122" s="154"/>
    </row>
    <row r="123" spans="3:36">
      <c r="C123" s="150"/>
      <c r="D123" s="193"/>
      <c r="E123" s="154"/>
      <c r="F123" s="154"/>
      <c r="G123" s="154"/>
      <c r="H123" s="154"/>
      <c r="I123" s="154"/>
      <c r="J123" s="193"/>
      <c r="K123" s="193"/>
      <c r="L123" s="154"/>
      <c r="P123" s="154">
        <v>6107500</v>
      </c>
      <c r="Q123" s="154">
        <v>6381950</v>
      </c>
      <c r="R123" s="154"/>
      <c r="T123" s="154"/>
      <c r="V123" s="185"/>
      <c r="W123" s="248"/>
      <c r="X123" s="248" t="e">
        <f ca="1">[3]!terbilang(X122)</f>
        <v>#NAME?</v>
      </c>
      <c r="Y123" s="248" t="e">
        <f ca="1">[3]!terbilang(Y122)</f>
        <v>#NAME?</v>
      </c>
      <c r="Z123" s="154"/>
      <c r="AA123" s="154"/>
      <c r="AB123" s="154"/>
      <c r="AC123" s="154"/>
      <c r="AD123" s="154">
        <v>12601000</v>
      </c>
      <c r="AE123" s="154"/>
      <c r="AF123" s="154"/>
      <c r="AG123" s="154"/>
      <c r="AH123" s="154"/>
    </row>
    <row r="124" spans="3:36">
      <c r="C124" s="150"/>
      <c r="D124" s="193"/>
      <c r="E124" s="154"/>
      <c r="F124" s="154"/>
      <c r="G124" s="154"/>
      <c r="H124" s="154"/>
      <c r="I124" s="154"/>
      <c r="K124" s="193"/>
      <c r="L124" s="154"/>
      <c r="P124" s="154" t="e">
        <f ca="1">[3]!terbilang(P123)</f>
        <v>#NAME?</v>
      </c>
      <c r="Q124" s="154" t="e">
        <f ca="1">[3]!terbilang(Q123)</f>
        <v>#NAME?</v>
      </c>
      <c r="R124" s="154"/>
      <c r="T124" s="154"/>
      <c r="W124" s="154"/>
      <c r="X124" s="154">
        <v>237004901</v>
      </c>
      <c r="Y124" s="154">
        <v>201819416</v>
      </c>
      <c r="Z124" s="154">
        <v>99900000</v>
      </c>
      <c r="AA124" s="154">
        <v>1493270207</v>
      </c>
      <c r="AB124" s="154"/>
      <c r="AD124" s="150" t="e">
        <f ca="1">[3]!terbilang(AD123)</f>
        <v>#NAME?</v>
      </c>
      <c r="AE124" s="150" t="e">
        <f ca="1">[3]!terbilang(AE123)</f>
        <v>#NAME?</v>
      </c>
      <c r="AF124" s="154"/>
      <c r="AG124" s="154"/>
      <c r="AH124" s="154"/>
    </row>
    <row r="125" spans="3:36">
      <c r="C125" s="150"/>
      <c r="D125" s="193"/>
      <c r="E125" s="154"/>
      <c r="F125" s="154"/>
      <c r="G125" s="154"/>
      <c r="H125" s="154"/>
      <c r="J125" s="154"/>
      <c r="K125" s="154"/>
      <c r="L125" s="154"/>
      <c r="P125" s="154">
        <v>9188500</v>
      </c>
      <c r="Q125" s="154">
        <v>3190000</v>
      </c>
      <c r="R125" s="154"/>
      <c r="T125" s="154"/>
      <c r="W125" s="248"/>
      <c r="X125" s="248" t="e">
        <f ca="1">[3]!terbilang(X124)</f>
        <v>#NAME?</v>
      </c>
      <c r="Y125" s="248" t="e">
        <f ca="1">[3]!terbilang(Y124)</f>
        <v>#NAME?</v>
      </c>
      <c r="Z125" s="248" t="e">
        <f ca="1">[3]!terbilang(Z124)</f>
        <v>#NAME?</v>
      </c>
      <c r="AA125" s="248" t="e">
        <f ca="1">[3]!terbilang(AA124)</f>
        <v>#NAME?</v>
      </c>
      <c r="AB125" s="154"/>
      <c r="AC125" s="154"/>
      <c r="AD125" s="154">
        <v>5986700</v>
      </c>
      <c r="AE125" s="154"/>
      <c r="AF125" s="154"/>
      <c r="AG125" s="154"/>
      <c r="AH125" s="154"/>
    </row>
    <row r="126" spans="3:36">
      <c r="C126" s="150"/>
      <c r="D126" s="193"/>
      <c r="E126" s="193"/>
      <c r="F126" s="193"/>
      <c r="G126" s="193"/>
      <c r="H126" s="154"/>
      <c r="J126" s="193"/>
      <c r="K126" s="193"/>
      <c r="L126" s="154"/>
      <c r="P126" s="154" t="e">
        <f ca="1">[3]!terbilang(P125)</f>
        <v>#NAME?</v>
      </c>
      <c r="Q126" s="154" t="e">
        <f ca="1">[3]!terbilang(Q125)</f>
        <v>#NAME?</v>
      </c>
      <c r="R126" s="154"/>
      <c r="T126" s="154"/>
      <c r="AD126" s="150" t="e">
        <f ca="1">[3]!terbilang(AD125)</f>
        <v>#NAME?</v>
      </c>
      <c r="AE126" s="150" t="e">
        <f ca="1">[3]!terbilang(AE125)</f>
        <v>#NAME?</v>
      </c>
      <c r="AF126" s="150" t="e">
        <f ca="1">[3]!terbilang(AF125)</f>
        <v>#NAME?</v>
      </c>
      <c r="AG126" s="154"/>
      <c r="AH126" s="154"/>
    </row>
    <row r="127" spans="3:36">
      <c r="C127" s="150"/>
      <c r="D127" s="193"/>
      <c r="E127" s="154"/>
      <c r="F127" s="154"/>
      <c r="G127" s="154"/>
      <c r="H127" s="154"/>
      <c r="J127" s="193"/>
      <c r="K127" s="193"/>
      <c r="L127" s="154"/>
      <c r="P127" s="154"/>
      <c r="Q127" s="154"/>
      <c r="R127" s="154"/>
      <c r="T127" s="154"/>
      <c r="V127" s="185"/>
      <c r="X127" s="154"/>
      <c r="AB127" s="154"/>
      <c r="AC127" s="154"/>
      <c r="AD127" s="154">
        <v>26129304</v>
      </c>
      <c r="AE127" s="154"/>
      <c r="AF127" s="154"/>
      <c r="AG127" s="154"/>
      <c r="AH127" s="154"/>
    </row>
    <row r="128" spans="3:36">
      <c r="C128" s="150"/>
      <c r="D128" s="193"/>
      <c r="E128" s="193"/>
      <c r="F128" s="193"/>
      <c r="G128" s="193"/>
      <c r="H128" s="154"/>
      <c r="J128" s="193"/>
      <c r="K128" s="193"/>
      <c r="R128" s="185"/>
      <c r="T128" s="154"/>
      <c r="V128" s="185"/>
      <c r="AD128" s="150" t="e">
        <f ca="1">[3]!terbilang(AD127)</f>
        <v>#NAME?</v>
      </c>
    </row>
    <row r="129" spans="3:31">
      <c r="C129" s="150"/>
      <c r="D129" s="193"/>
      <c r="E129" s="154"/>
      <c r="F129" s="154"/>
      <c r="G129" s="154"/>
      <c r="H129" s="154"/>
      <c r="J129" s="193"/>
      <c r="K129" s="193"/>
      <c r="R129" s="185">
        <v>44545</v>
      </c>
      <c r="S129" s="150" t="s">
        <v>112</v>
      </c>
      <c r="T129" s="154">
        <v>24694295</v>
      </c>
      <c r="V129" s="185"/>
      <c r="Z129" s="154"/>
      <c r="AA129" s="154"/>
      <c r="AB129" s="154"/>
      <c r="AC129" s="154"/>
      <c r="AD129" s="154">
        <v>1560000</v>
      </c>
    </row>
    <row r="130" spans="3:31">
      <c r="C130" s="150"/>
      <c r="D130" s="193"/>
      <c r="E130" s="154"/>
      <c r="F130" s="154"/>
      <c r="G130" s="154"/>
      <c r="H130" s="154"/>
      <c r="J130" s="193"/>
      <c r="K130" s="193"/>
      <c r="R130" s="185">
        <v>44545</v>
      </c>
      <c r="T130" s="154"/>
      <c r="Z130" s="154"/>
      <c r="AA130" s="154"/>
      <c r="AD130" s="150" t="e">
        <f ca="1">[3]!terbilang(AD129)</f>
        <v>#NAME?</v>
      </c>
      <c r="AE130" s="150" t="e">
        <f ca="1">[3]!terbilang(AE129)</f>
        <v>#NAME?</v>
      </c>
    </row>
    <row r="131" spans="3:31">
      <c r="C131" s="150"/>
      <c r="D131" s="193"/>
      <c r="E131" s="154"/>
      <c r="F131" s="154"/>
      <c r="G131" s="154"/>
      <c r="H131" s="154"/>
      <c r="J131" s="193"/>
      <c r="K131" s="193"/>
      <c r="T131" s="154"/>
      <c r="Z131" s="154"/>
      <c r="AA131" s="154"/>
      <c r="AB131" s="154"/>
      <c r="AC131" s="154"/>
      <c r="AD131" s="154"/>
    </row>
    <row r="132" spans="3:31">
      <c r="C132" s="150"/>
      <c r="D132" s="193"/>
      <c r="E132" s="193"/>
      <c r="F132" s="193"/>
      <c r="G132" s="193"/>
      <c r="H132" s="154"/>
      <c r="R132" s="185"/>
      <c r="AD132" s="150" t="e">
        <f ca="1">[3]!terbilang(AD129)</f>
        <v>#NAME?</v>
      </c>
    </row>
    <row r="133" spans="3:31">
      <c r="C133" s="150"/>
      <c r="D133" s="193"/>
      <c r="E133" s="154"/>
      <c r="F133" s="154"/>
      <c r="G133" s="154"/>
      <c r="H133" s="154"/>
      <c r="P133" s="154">
        <v>750000000</v>
      </c>
      <c r="Q133" s="154">
        <v>302157571</v>
      </c>
      <c r="R133" s="154">
        <v>586584565</v>
      </c>
      <c r="S133" s="154">
        <v>120380522</v>
      </c>
      <c r="T133" s="154">
        <v>238589291</v>
      </c>
      <c r="Z133" s="154"/>
      <c r="AA133" s="154"/>
      <c r="AB133" s="154"/>
      <c r="AC133" s="154"/>
      <c r="AD133" s="154">
        <v>3387791</v>
      </c>
    </row>
    <row r="134" spans="3:31">
      <c r="C134" s="150"/>
      <c r="D134" s="193"/>
      <c r="E134" s="193"/>
      <c r="F134" s="193"/>
      <c r="G134" s="193"/>
      <c r="H134" s="154"/>
      <c r="P134" s="154" t="e">
        <f ca="1">[3]!terbilang(P133)</f>
        <v>#NAME?</v>
      </c>
      <c r="Q134" s="154" t="e">
        <f ca="1">[3]!terbilang(Q133)</f>
        <v>#NAME?</v>
      </c>
      <c r="R134" s="154" t="e">
        <f ca="1">[3]!terbilang(R133)</f>
        <v>#NAME?</v>
      </c>
      <c r="S134" s="154" t="e">
        <f ca="1">[3]!terbilang(S133)</f>
        <v>#NAME?</v>
      </c>
      <c r="T134" s="154" t="e">
        <f ca="1">[3]!terbilang(T133)</f>
        <v>#NAME?</v>
      </c>
      <c r="AD134" s="150" t="e">
        <f ca="1">[3]!terbilang(AD133)</f>
        <v>#NAME?</v>
      </c>
    </row>
    <row r="135" spans="3:31">
      <c r="C135" s="150"/>
      <c r="D135" s="193"/>
      <c r="E135" s="154"/>
      <c r="F135" s="154"/>
      <c r="G135" s="154"/>
      <c r="H135" s="154"/>
      <c r="P135" s="154">
        <v>2166057981</v>
      </c>
      <c r="Q135" s="154">
        <v>14043443</v>
      </c>
      <c r="R135" s="154">
        <v>1145868554</v>
      </c>
      <c r="S135" s="154">
        <v>1123645962</v>
      </c>
      <c r="T135" s="154"/>
      <c r="Z135" s="154"/>
      <c r="AA135" s="154"/>
      <c r="AB135" s="154"/>
      <c r="AC135" s="154"/>
      <c r="AD135" s="154"/>
    </row>
    <row r="136" spans="3:31">
      <c r="C136" s="150"/>
      <c r="D136" s="193"/>
      <c r="E136" s="154"/>
      <c r="F136" s="154"/>
      <c r="G136" s="154"/>
      <c r="H136" s="154"/>
      <c r="P136" s="154" t="e">
        <f ca="1">[3]!terbilang(P135)</f>
        <v>#NAME?</v>
      </c>
      <c r="Q136" s="154" t="e">
        <f ca="1">[3]!terbilang(Q135)</f>
        <v>#NAME?</v>
      </c>
      <c r="R136" s="154" t="e">
        <f ca="1">[3]!terbilang(R135)</f>
        <v>#NAME?</v>
      </c>
      <c r="S136" s="154" t="e">
        <f ca="1">[3]!terbilang(S135)</f>
        <v>#NAME?</v>
      </c>
      <c r="T136" s="154" t="e">
        <f ca="1">[3]!terbilang(T135)</f>
        <v>#NAME?</v>
      </c>
      <c r="AB136" s="154"/>
      <c r="AC136" s="154"/>
      <c r="AD136" s="154"/>
    </row>
    <row r="137" spans="3:31">
      <c r="C137" s="150"/>
      <c r="D137" s="193"/>
      <c r="E137" s="193"/>
      <c r="F137" s="193"/>
      <c r="G137" s="193"/>
      <c r="H137" s="154"/>
      <c r="P137" s="154"/>
      <c r="Q137" s="154"/>
      <c r="R137" s="154"/>
      <c r="S137" s="154"/>
      <c r="T137" s="154"/>
      <c r="Z137" s="154"/>
      <c r="AA137" s="154"/>
      <c r="AB137" s="154"/>
      <c r="AC137" s="154"/>
      <c r="AD137" s="154"/>
    </row>
    <row r="138" spans="3:31">
      <c r="C138" s="150"/>
      <c r="D138" s="154"/>
      <c r="E138" s="154"/>
      <c r="F138" s="154"/>
      <c r="G138" s="154"/>
      <c r="H138" s="154"/>
      <c r="P138" s="154"/>
      <c r="Q138" s="154"/>
      <c r="R138" s="154"/>
      <c r="S138" s="154"/>
      <c r="T138" s="154"/>
      <c r="Z138" s="154"/>
      <c r="AA138" s="154"/>
      <c r="AB138" s="154"/>
      <c r="AC138" s="154"/>
      <c r="AD138" s="154"/>
    </row>
    <row r="139" spans="3:31">
      <c r="C139" s="150"/>
      <c r="D139" s="154"/>
      <c r="E139" s="154"/>
      <c r="F139" s="154"/>
      <c r="G139" s="154"/>
      <c r="H139" s="154"/>
      <c r="P139" s="154"/>
      <c r="Q139" s="154"/>
      <c r="R139" s="154"/>
      <c r="S139" s="154"/>
      <c r="T139" s="154"/>
      <c r="Z139" s="154"/>
      <c r="AA139" s="154"/>
      <c r="AB139" s="154"/>
      <c r="AC139" s="154"/>
      <c r="AD139" s="154"/>
    </row>
    <row r="140" spans="3:31">
      <c r="C140" s="150"/>
      <c r="D140" s="193"/>
      <c r="E140" s="193"/>
      <c r="F140" s="193"/>
      <c r="G140" s="193"/>
      <c r="H140" s="154"/>
      <c r="U140" s="150">
        <v>2500000</v>
      </c>
      <c r="Z140" s="154"/>
      <c r="AA140" s="154"/>
      <c r="AB140" s="154"/>
      <c r="AC140" s="154"/>
      <c r="AD140" s="154">
        <v>1870843551</v>
      </c>
      <c r="AE140" s="154"/>
    </row>
    <row r="141" spans="3:31">
      <c r="C141" s="150"/>
      <c r="D141" s="154"/>
      <c r="E141" s="154"/>
      <c r="F141" s="154"/>
      <c r="G141" s="154"/>
      <c r="H141" s="154"/>
      <c r="J141" s="150"/>
      <c r="K141" s="150"/>
      <c r="AA141" s="154"/>
      <c r="AB141" s="154"/>
      <c r="AC141" s="154"/>
      <c r="AD141" s="154" t="e">
        <f ca="1">[3]!terbilang(AD140)</f>
        <v>#NAME?</v>
      </c>
      <c r="AE141" s="154"/>
    </row>
    <row r="142" spans="3:31">
      <c r="C142" s="150"/>
      <c r="D142" s="193"/>
      <c r="E142" s="193"/>
      <c r="F142" s="193"/>
      <c r="G142" s="193"/>
      <c r="J142" s="150"/>
      <c r="K142" s="150"/>
      <c r="AA142" s="154"/>
      <c r="AB142" s="154"/>
      <c r="AC142" s="154"/>
      <c r="AD142" s="154"/>
      <c r="AE142" s="154"/>
    </row>
    <row r="143" spans="3:31">
      <c r="C143" s="150"/>
      <c r="D143" s="154"/>
      <c r="E143" s="154"/>
      <c r="F143" s="154"/>
      <c r="G143" s="154"/>
      <c r="H143" s="154"/>
      <c r="J143" s="150"/>
      <c r="K143" s="150"/>
      <c r="AA143" s="154"/>
      <c r="AB143" s="154"/>
      <c r="AC143" s="154"/>
      <c r="AD143" s="154" t="e">
        <f ca="1">[3]!terbilang(AD142)</f>
        <v>#NAME?</v>
      </c>
      <c r="AE143" s="154"/>
    </row>
    <row r="144" spans="3:31">
      <c r="C144" s="150"/>
      <c r="D144" s="193"/>
      <c r="E144" s="193"/>
      <c r="F144" s="193"/>
      <c r="G144" s="193"/>
      <c r="H144" s="193"/>
      <c r="J144" s="150"/>
      <c r="K144" s="150"/>
      <c r="AA144" s="154"/>
      <c r="AB144" s="154"/>
      <c r="AC144" s="154"/>
      <c r="AD144" s="154"/>
      <c r="AE144" s="154"/>
    </row>
    <row r="145" spans="3:29">
      <c r="D145" s="193"/>
      <c r="E145" s="154"/>
      <c r="F145" s="154"/>
      <c r="G145" s="154"/>
      <c r="J145" s="150"/>
      <c r="K145" s="150"/>
      <c r="U145" s="150">
        <v>600</v>
      </c>
      <c r="V145" s="150">
        <f>600*12</f>
        <v>7200</v>
      </c>
    </row>
    <row r="146" spans="3:29">
      <c r="D146" s="193"/>
      <c r="E146" s="154"/>
      <c r="F146" s="154"/>
      <c r="G146" s="154"/>
      <c r="J146" s="150"/>
      <c r="K146" s="150"/>
    </row>
    <row r="147" spans="3:29">
      <c r="C147" s="150"/>
      <c r="D147" s="154"/>
      <c r="E147" s="154"/>
      <c r="F147" s="154"/>
      <c r="G147" s="154"/>
      <c r="J147" s="150"/>
      <c r="K147" s="150"/>
      <c r="X147" s="154"/>
      <c r="Y147" s="154"/>
      <c r="Z147" s="154"/>
      <c r="AA147" s="154"/>
      <c r="AB147" s="154"/>
      <c r="AC147" s="154"/>
    </row>
    <row r="148" spans="3:29">
      <c r="C148" s="150"/>
      <c r="D148" s="150"/>
      <c r="J148" s="150"/>
      <c r="K148" s="150"/>
      <c r="X148" s="154"/>
      <c r="Y148" s="154"/>
      <c r="Z148" s="154"/>
      <c r="AA148" s="154"/>
      <c r="AB148" s="154"/>
      <c r="AC148" s="154"/>
    </row>
    <row r="149" spans="3:29">
      <c r="C149" s="150"/>
      <c r="D149" s="154"/>
      <c r="E149" s="154"/>
      <c r="F149" s="154"/>
      <c r="G149" s="154"/>
      <c r="X149" s="154"/>
      <c r="Y149" s="154"/>
      <c r="Z149" s="154"/>
      <c r="AA149" s="154"/>
      <c r="AB149" s="154"/>
      <c r="AC149" s="154"/>
    </row>
    <row r="150" spans="3:29">
      <c r="C150" s="150"/>
      <c r="D150" s="193"/>
      <c r="E150" s="193"/>
      <c r="F150" s="193"/>
      <c r="G150" s="193"/>
      <c r="W150" s="154">
        <f>2500000*7200</f>
        <v>18000000000</v>
      </c>
      <c r="X150" s="154"/>
      <c r="Y150" s="154"/>
      <c r="Z150" s="154"/>
      <c r="AA150" s="154"/>
      <c r="AB150" s="154"/>
      <c r="AC150" s="154"/>
    </row>
    <row r="151" spans="3:29">
      <c r="C151" s="150"/>
      <c r="D151" s="150"/>
      <c r="J151" s="150"/>
      <c r="K151" s="150"/>
      <c r="X151" s="154"/>
      <c r="Y151" s="154"/>
      <c r="Z151" s="154"/>
      <c r="AA151" s="154"/>
      <c r="AB151" s="154"/>
      <c r="AC151" s="154"/>
    </row>
    <row r="152" spans="3:29">
      <c r="C152" s="150"/>
      <c r="D152" s="150"/>
      <c r="J152" s="150"/>
      <c r="K152" s="150"/>
      <c r="X152" s="154"/>
      <c r="Y152" s="154"/>
      <c r="Z152" s="154"/>
      <c r="AA152" s="154"/>
      <c r="AB152" s="154"/>
      <c r="AC152" s="154"/>
    </row>
    <row r="153" spans="3:29">
      <c r="C153" s="150"/>
      <c r="D153" s="150"/>
      <c r="E153" s="245">
        <f>C153+D153</f>
        <v>0</v>
      </c>
      <c r="F153" s="241">
        <v>151858375</v>
      </c>
      <c r="J153" s="150"/>
      <c r="K153" s="150"/>
      <c r="X153" s="154"/>
      <c r="Y153" s="154"/>
      <c r="Z153" s="154"/>
      <c r="AA153" s="154"/>
      <c r="AB153" s="154"/>
      <c r="AC153" s="154"/>
    </row>
    <row r="154" spans="3:29">
      <c r="C154" s="150"/>
      <c r="D154" s="150"/>
      <c r="E154" s="245">
        <f t="shared" ref="E154:E171" si="6">C154+D154</f>
        <v>0</v>
      </c>
      <c r="F154" s="241">
        <v>151858375</v>
      </c>
      <c r="J154" s="150"/>
      <c r="K154" s="150"/>
      <c r="X154" s="154"/>
      <c r="Y154" s="154"/>
      <c r="Z154" s="154"/>
      <c r="AA154" s="154"/>
      <c r="AB154" s="154"/>
      <c r="AC154" s="154"/>
    </row>
    <row r="155" spans="3:29">
      <c r="C155" s="150"/>
      <c r="D155" s="150"/>
      <c r="E155" s="245">
        <f t="shared" si="6"/>
        <v>0</v>
      </c>
      <c r="F155" s="241">
        <v>15635402</v>
      </c>
      <c r="J155" s="150"/>
      <c r="K155" s="150"/>
      <c r="X155" s="154"/>
      <c r="Y155" s="154"/>
      <c r="Z155" s="154"/>
      <c r="AA155" s="154"/>
      <c r="AB155" s="154"/>
      <c r="AC155" s="154"/>
    </row>
    <row r="156" spans="3:29">
      <c r="C156" s="150"/>
      <c r="D156" s="150"/>
      <c r="E156" s="245">
        <f t="shared" si="6"/>
        <v>0</v>
      </c>
      <c r="F156" s="241">
        <v>417819202</v>
      </c>
      <c r="J156" s="150"/>
      <c r="K156" s="150"/>
      <c r="X156" s="154"/>
      <c r="Y156" s="154"/>
      <c r="Z156" s="154"/>
      <c r="AA156" s="154"/>
      <c r="AB156" s="154"/>
      <c r="AC156" s="154"/>
    </row>
    <row r="157" spans="3:29">
      <c r="E157" s="245">
        <f t="shared" si="6"/>
        <v>0</v>
      </c>
      <c r="F157" s="241">
        <v>8266215</v>
      </c>
      <c r="J157" s="150"/>
      <c r="K157" s="150"/>
    </row>
    <row r="158" spans="3:29">
      <c r="E158" s="245">
        <f t="shared" si="6"/>
        <v>0</v>
      </c>
      <c r="F158" s="241">
        <v>8266215</v>
      </c>
      <c r="J158" s="150"/>
      <c r="K158" s="150"/>
    </row>
    <row r="159" spans="3:29">
      <c r="E159" s="245">
        <f t="shared" si="6"/>
        <v>0</v>
      </c>
      <c r="F159" s="242">
        <v>42795328</v>
      </c>
      <c r="J159" s="150"/>
      <c r="K159" s="150"/>
    </row>
    <row r="160" spans="3:29">
      <c r="C160" s="150"/>
      <c r="D160" s="150"/>
      <c r="E160" s="245">
        <f t="shared" si="6"/>
        <v>0</v>
      </c>
      <c r="F160" s="241">
        <v>26265232</v>
      </c>
      <c r="J160" s="150"/>
      <c r="K160" s="150"/>
    </row>
    <row r="161" spans="3:11">
      <c r="C161" s="150"/>
      <c r="D161" s="150"/>
      <c r="E161" s="245">
        <f t="shared" si="6"/>
        <v>0</v>
      </c>
      <c r="F161" s="242">
        <v>26265232</v>
      </c>
    </row>
    <row r="162" spans="3:11">
      <c r="C162" s="150"/>
      <c r="D162" s="150"/>
      <c r="E162" s="245">
        <f t="shared" si="6"/>
        <v>0</v>
      </c>
      <c r="F162" s="242">
        <v>199624868</v>
      </c>
    </row>
    <row r="163" spans="3:11">
      <c r="C163" s="150"/>
      <c r="D163" s="150"/>
      <c r="E163" s="245">
        <f t="shared" si="6"/>
        <v>0</v>
      </c>
      <c r="F163" s="241">
        <v>19684245</v>
      </c>
    </row>
    <row r="164" spans="3:11">
      <c r="C164" s="150"/>
      <c r="D164" s="150"/>
      <c r="E164" s="245">
        <f t="shared" si="6"/>
        <v>0</v>
      </c>
      <c r="F164" s="241">
        <v>77905425</v>
      </c>
      <c r="J164" s="150"/>
      <c r="K164" s="150"/>
    </row>
    <row r="165" spans="3:11">
      <c r="C165" s="150"/>
      <c r="D165" s="150"/>
      <c r="E165" s="245">
        <f t="shared" si="6"/>
        <v>0</v>
      </c>
      <c r="F165" s="241">
        <v>4441476</v>
      </c>
      <c r="J165" s="150"/>
      <c r="K165" s="150"/>
    </row>
    <row r="166" spans="3:11">
      <c r="C166" s="150"/>
      <c r="D166" s="150"/>
      <c r="E166" s="245">
        <f t="shared" si="6"/>
        <v>0</v>
      </c>
      <c r="F166" s="241">
        <v>4266433</v>
      </c>
      <c r="J166" s="150"/>
      <c r="K166" s="150"/>
    </row>
    <row r="167" spans="3:11">
      <c r="C167" s="150"/>
      <c r="D167" s="150"/>
      <c r="E167" s="245">
        <f t="shared" si="6"/>
        <v>0</v>
      </c>
      <c r="F167" s="241">
        <v>852429</v>
      </c>
      <c r="J167" s="150"/>
      <c r="K167" s="150"/>
    </row>
    <row r="168" spans="3:11">
      <c r="C168" s="150"/>
      <c r="D168" s="150"/>
      <c r="E168" s="245">
        <f t="shared" si="6"/>
        <v>0</v>
      </c>
      <c r="F168" s="241">
        <v>852429</v>
      </c>
      <c r="H168" s="154"/>
      <c r="J168" s="150"/>
      <c r="K168" s="150"/>
    </row>
    <row r="169" spans="3:11">
      <c r="C169" s="150"/>
      <c r="D169" s="150"/>
      <c r="E169" s="245">
        <f t="shared" si="6"/>
        <v>0</v>
      </c>
      <c r="F169" s="242">
        <v>112121856</v>
      </c>
      <c r="H169" s="154"/>
      <c r="J169" s="150"/>
      <c r="K169" s="150"/>
    </row>
    <row r="170" spans="3:11">
      <c r="C170" s="150"/>
      <c r="D170" s="150"/>
      <c r="E170" s="245">
        <f t="shared" si="6"/>
        <v>0</v>
      </c>
      <c r="F170" s="241">
        <v>95897725</v>
      </c>
      <c r="H170" s="154"/>
      <c r="J170" s="150"/>
      <c r="K170" s="150"/>
    </row>
    <row r="171" spans="3:11">
      <c r="C171" s="150"/>
      <c r="D171" s="150"/>
      <c r="E171" s="245">
        <f t="shared" si="6"/>
        <v>0</v>
      </c>
      <c r="F171" s="242">
        <v>611033945</v>
      </c>
      <c r="H171" s="154"/>
      <c r="J171" s="150"/>
      <c r="K171" s="150"/>
    </row>
    <row r="172" spans="3:11">
      <c r="C172" s="150"/>
      <c r="D172" s="150"/>
      <c r="F172" s="243"/>
      <c r="H172" s="154"/>
      <c r="J172" s="150"/>
      <c r="K172" s="150"/>
    </row>
    <row r="173" spans="3:11">
      <c r="H173" s="193" t="e">
        <f ca="1">[3]!terbilang(H172)</f>
        <v>#NAME?</v>
      </c>
      <c r="J173" s="150"/>
      <c r="K173" s="150"/>
    </row>
    <row r="174" spans="3:11">
      <c r="D174" s="193">
        <v>97846397</v>
      </c>
      <c r="E174" s="154">
        <v>2865371212</v>
      </c>
      <c r="F174" s="154">
        <v>89668307</v>
      </c>
      <c r="G174" s="154">
        <v>140646841</v>
      </c>
      <c r="H174" s="154"/>
      <c r="J174" s="150"/>
      <c r="K174" s="150"/>
    </row>
    <row r="175" spans="3:11">
      <c r="D175" s="193"/>
      <c r="E175" s="154"/>
      <c r="F175" s="154"/>
      <c r="G175" s="154"/>
      <c r="H175" s="154"/>
      <c r="J175" s="150"/>
      <c r="K175" s="150"/>
    </row>
    <row r="176" spans="3:11">
      <c r="D176" s="182" t="e">
        <f ca="1">[3]!terbilang(D174)</f>
        <v>#NAME?</v>
      </c>
      <c r="E176" s="193" t="e">
        <f ca="1">[3]!terbilang(E174)</f>
        <v>#NAME?</v>
      </c>
      <c r="F176" s="193" t="e">
        <f ca="1">[3]!terbilang(F174)</f>
        <v>#NAME?</v>
      </c>
      <c r="G176" s="193" t="e">
        <f ca="1">[3]!terbilang(G174)</f>
        <v>#NAME?</v>
      </c>
      <c r="H176" s="154"/>
      <c r="J176" s="150"/>
      <c r="K176" s="150"/>
    </row>
    <row r="177" spans="4:8" s="150" customFormat="1">
      <c r="D177" s="193"/>
      <c r="E177" s="154"/>
      <c r="F177" s="154"/>
      <c r="G177" s="154"/>
      <c r="H177" s="154"/>
    </row>
    <row r="178" spans="4:8" s="150" customFormat="1">
      <c r="D178" s="193">
        <v>14952300</v>
      </c>
      <c r="E178" s="154">
        <v>25686590</v>
      </c>
      <c r="F178" s="154">
        <v>12165006</v>
      </c>
      <c r="G178" s="154">
        <v>33728185</v>
      </c>
      <c r="H178" s="154"/>
    </row>
    <row r="179" spans="4:8" s="150" customFormat="1">
      <c r="D179" s="193" t="e">
        <f ca="1">[3]!terbilang(D178)</f>
        <v>#NAME?</v>
      </c>
      <c r="E179" s="193" t="e">
        <f ca="1">[3]!terbilang(E178)</f>
        <v>#NAME?</v>
      </c>
      <c r="F179" s="193" t="e">
        <f ca="1">[3]!terbilang(F178)</f>
        <v>#NAME?</v>
      </c>
      <c r="G179" s="193" t="e">
        <f ca="1">[3]!terbilang(G178)</f>
        <v>#NAME?</v>
      </c>
      <c r="H179" s="154"/>
    </row>
    <row r="180" spans="4:8" s="150" customFormat="1">
      <c r="D180" s="193"/>
      <c r="E180" s="193"/>
      <c r="F180" s="193"/>
      <c r="G180" s="193"/>
      <c r="H180" s="193" t="e">
        <f ca="1">[3]!terbilang(H178)</f>
        <v>#NAME?</v>
      </c>
    </row>
    <row r="181" spans="4:8" s="150" customFormat="1">
      <c r="D181" s="193">
        <v>48422213</v>
      </c>
      <c r="E181" s="154">
        <v>36753941</v>
      </c>
      <c r="F181" s="154">
        <v>31079686</v>
      </c>
      <c r="G181" s="154">
        <v>20004300</v>
      </c>
      <c r="H181" s="154"/>
    </row>
    <row r="182" spans="4:8" s="150" customFormat="1">
      <c r="D182" s="193"/>
      <c r="E182" s="154"/>
      <c r="F182" s="154"/>
      <c r="G182" s="154"/>
      <c r="H182" s="154"/>
    </row>
    <row r="183" spans="4:8" s="150" customFormat="1">
      <c r="D183" s="193" t="e">
        <f ca="1">[3]!terbilang(D181)</f>
        <v>#NAME?</v>
      </c>
      <c r="E183" s="193" t="e">
        <f ca="1">[3]!terbilang(E181)</f>
        <v>#NAME?</v>
      </c>
      <c r="F183" s="193" t="e">
        <f ca="1">[3]!terbilang(F181)</f>
        <v>#NAME?</v>
      </c>
      <c r="G183" s="193" t="e">
        <f ca="1">[3]!terbilang(G181)</f>
        <v>#NAME?</v>
      </c>
      <c r="H183" s="154"/>
    </row>
    <row r="184" spans="4:8" s="150" customFormat="1">
      <c r="D184" s="193">
        <v>59307925</v>
      </c>
      <c r="E184" s="154">
        <v>91714882</v>
      </c>
      <c r="F184" s="154">
        <v>50376375</v>
      </c>
      <c r="G184" s="154">
        <v>48653224</v>
      </c>
      <c r="H184" s="154"/>
    </row>
    <row r="185" spans="4:8" s="150" customFormat="1">
      <c r="D185" s="193"/>
      <c r="E185" s="154"/>
      <c r="F185" s="154"/>
      <c r="G185" s="154"/>
      <c r="H185" s="154"/>
    </row>
    <row r="186" spans="4:8" s="150" customFormat="1">
      <c r="D186" s="193" t="e">
        <f ca="1">[3]!terbilang(D184)</f>
        <v>#NAME?</v>
      </c>
      <c r="E186" s="193" t="e">
        <f ca="1">[3]!terbilang(E184)</f>
        <v>#NAME?</v>
      </c>
      <c r="F186" s="193" t="e">
        <f ca="1">[3]!terbilang(F184)</f>
        <v>#NAME?</v>
      </c>
      <c r="G186" s="193" t="e">
        <f ca="1">[3]!terbilang(G184)</f>
        <v>#NAME?</v>
      </c>
    </row>
    <row r="187" spans="4:8" s="150" customFormat="1">
      <c r="D187" s="193"/>
      <c r="E187" s="154"/>
      <c r="F187" s="154"/>
      <c r="G187" s="154"/>
    </row>
    <row r="188" spans="4:8" s="150" customFormat="1">
      <c r="D188" s="193"/>
      <c r="E188" s="154"/>
      <c r="F188" s="154"/>
      <c r="G188" s="154"/>
    </row>
    <row r="189" spans="4:8" s="150" customFormat="1">
      <c r="D189" s="193"/>
      <c r="E189" s="154"/>
      <c r="F189" s="154"/>
      <c r="G189" s="154"/>
    </row>
    <row r="190" spans="4:8" s="150" customFormat="1">
      <c r="D190" s="193"/>
      <c r="E190" s="154"/>
      <c r="F190" s="154"/>
      <c r="G190" s="154"/>
    </row>
    <row r="191" spans="4:8" s="150" customFormat="1">
      <c r="D191" s="193"/>
      <c r="E191" s="154" t="s">
        <v>108</v>
      </c>
      <c r="F191" s="154"/>
      <c r="G191" s="154"/>
    </row>
    <row r="193" spans="4:5" s="150" customFormat="1">
      <c r="D193" s="182" t="s">
        <v>112</v>
      </c>
    </row>
    <row r="194" spans="4:5" s="150" customFormat="1">
      <c r="D194" s="182"/>
      <c r="E194" s="150" t="s">
        <v>111</v>
      </c>
    </row>
  </sheetData>
  <mergeCells count="17">
    <mergeCell ref="A80:B80"/>
    <mergeCell ref="AD87:AE87"/>
    <mergeCell ref="AF88:AG88"/>
    <mergeCell ref="P89:T89"/>
    <mergeCell ref="P90:T90"/>
    <mergeCell ref="F89:G89"/>
    <mergeCell ref="F90:G90"/>
    <mergeCell ref="H89:I89"/>
    <mergeCell ref="H90:I90"/>
    <mergeCell ref="J89:K89"/>
    <mergeCell ref="J90:K90"/>
    <mergeCell ref="L89:M89"/>
    <mergeCell ref="L90:M90"/>
    <mergeCell ref="W94:X94"/>
    <mergeCell ref="W93:Z93"/>
    <mergeCell ref="P98:S98"/>
    <mergeCell ref="C4:AG4"/>
  </mergeCells>
  <pageMargins left="0.7" right="0.7" top="0.75" bottom="0.75" header="0.3" footer="0.3"/>
  <pageSetup paperSize="9"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98"/>
  <sheetViews>
    <sheetView zoomScale="62" zoomScaleNormal="62" workbookViewId="0">
      <selection activeCell="B3" sqref="B3"/>
    </sheetView>
  </sheetViews>
  <sheetFormatPr defaultRowHeight="15.75"/>
  <cols>
    <col min="1" max="1" width="45.140625" style="150" customWidth="1"/>
    <col min="2" max="2" width="6" style="150" customWidth="1"/>
    <col min="3" max="3" width="19.85546875" style="182" hidden="1" customWidth="1"/>
    <col min="4" max="4" width="18.7109375" style="182" hidden="1" customWidth="1"/>
    <col min="5" max="5" width="21.28515625" style="150" hidden="1" customWidth="1"/>
    <col min="6" max="6" width="29.42578125" style="150" hidden="1" customWidth="1"/>
    <col min="7" max="7" width="18.42578125" style="150" hidden="1" customWidth="1"/>
    <col min="8" max="8" width="22.140625" style="150" hidden="1" customWidth="1"/>
    <col min="9" max="9" width="21.42578125" style="150" hidden="1" customWidth="1"/>
    <col min="10" max="10" width="22.140625" style="182" hidden="1" customWidth="1"/>
    <col min="11" max="11" width="21" style="182" hidden="1" customWidth="1"/>
    <col min="12" max="12" width="24.140625" style="150" hidden="1" customWidth="1"/>
    <col min="13" max="13" width="19" style="150" hidden="1" customWidth="1"/>
    <col min="14" max="14" width="19.42578125" style="150" hidden="1" customWidth="1"/>
    <col min="15" max="15" width="18.28515625" style="150" hidden="1" customWidth="1"/>
    <col min="16" max="16" width="19.85546875" style="150" hidden="1" customWidth="1"/>
    <col min="17" max="17" width="18.85546875" style="150" hidden="1" customWidth="1"/>
    <col min="18" max="18" width="20" style="150" hidden="1" customWidth="1"/>
    <col min="19" max="19" width="21.5703125" style="150" hidden="1" customWidth="1"/>
    <col min="20" max="20" width="23.28515625" style="150" hidden="1" customWidth="1"/>
    <col min="21" max="21" width="19.5703125" style="150" hidden="1" customWidth="1"/>
    <col min="22" max="22" width="19.42578125" style="150" hidden="1" customWidth="1"/>
    <col min="23" max="23" width="23" style="150" hidden="1" customWidth="1"/>
    <col min="24" max="25" width="20.7109375" style="150" hidden="1" customWidth="1"/>
    <col min="26" max="26" width="22.42578125" style="150" customWidth="1"/>
    <col min="27" max="27" width="21.7109375" style="150" customWidth="1"/>
    <col min="28" max="28" width="20.28515625" style="150" customWidth="1"/>
    <col min="29" max="29" width="18.5703125" style="150" customWidth="1"/>
    <col min="30" max="30" width="21.7109375" style="150" customWidth="1"/>
    <col min="31" max="31" width="22" style="150" customWidth="1"/>
    <col min="32" max="32" width="19" style="150" customWidth="1"/>
    <col min="33" max="34" width="21.7109375" style="150" customWidth="1"/>
    <col min="35" max="35" width="20.28515625" style="150" customWidth="1"/>
    <col min="36" max="36" width="18.140625" style="150" customWidth="1"/>
    <col min="37" max="37" width="12.85546875" style="150" customWidth="1"/>
    <col min="38" max="38" width="19.140625" style="150" customWidth="1"/>
    <col min="39" max="16384" width="9.140625" style="150"/>
  </cols>
  <sheetData>
    <row r="1" spans="1:36">
      <c r="A1" s="147" t="s">
        <v>0</v>
      </c>
      <c r="B1" s="148"/>
      <c r="C1" s="149"/>
      <c r="D1" s="149"/>
      <c r="E1" s="148"/>
      <c r="F1" s="148"/>
      <c r="G1" s="148"/>
      <c r="H1" s="148"/>
      <c r="I1" s="148"/>
      <c r="J1" s="149"/>
      <c r="K1" s="149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</row>
    <row r="2" spans="1:36" s="154" customFormat="1">
      <c r="A2" s="151" t="s">
        <v>1</v>
      </c>
      <c r="B2" s="152"/>
      <c r="C2" s="153"/>
      <c r="D2" s="153"/>
      <c r="E2" s="152"/>
      <c r="F2" s="152"/>
      <c r="G2" s="152"/>
      <c r="H2" s="152"/>
      <c r="I2" s="152"/>
      <c r="J2" s="153"/>
      <c r="K2" s="153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</row>
    <row r="3" spans="1:36">
      <c r="A3" s="155" t="s">
        <v>2</v>
      </c>
      <c r="B3" s="156">
        <v>44531</v>
      </c>
      <c r="C3" s="153"/>
      <c r="D3" s="153"/>
      <c r="E3" s="152"/>
      <c r="F3" s="152"/>
      <c r="G3" s="152"/>
      <c r="H3" s="152"/>
      <c r="I3" s="152"/>
      <c r="J3" s="153"/>
      <c r="K3" s="153"/>
      <c r="L3" s="152"/>
      <c r="M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</row>
    <row r="4" spans="1:36">
      <c r="A4" s="157" t="s">
        <v>3</v>
      </c>
      <c r="B4" s="158" t="s">
        <v>4</v>
      </c>
      <c r="C4" s="390" t="s">
        <v>5</v>
      </c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2"/>
      <c r="AH4" s="268"/>
      <c r="AI4" s="159" t="s">
        <v>6</v>
      </c>
      <c r="AJ4" s="154"/>
    </row>
    <row r="5" spans="1:36">
      <c r="A5" s="157"/>
      <c r="B5" s="158"/>
      <c r="C5" s="160">
        <v>1</v>
      </c>
      <c r="D5" s="160">
        <v>2</v>
      </c>
      <c r="E5" s="160">
        <v>3</v>
      </c>
      <c r="F5" s="160">
        <v>4</v>
      </c>
      <c r="G5" s="160">
        <v>5</v>
      </c>
      <c r="H5" s="160">
        <v>6</v>
      </c>
      <c r="I5" s="160">
        <v>7</v>
      </c>
      <c r="J5" s="160">
        <v>8</v>
      </c>
      <c r="K5" s="160">
        <v>9</v>
      </c>
      <c r="L5" s="160">
        <v>10</v>
      </c>
      <c r="M5" s="160">
        <v>11</v>
      </c>
      <c r="N5" s="160">
        <v>12</v>
      </c>
      <c r="O5" s="160">
        <v>13</v>
      </c>
      <c r="P5" s="160">
        <v>14</v>
      </c>
      <c r="Q5" s="160">
        <v>15</v>
      </c>
      <c r="R5" s="160">
        <v>16</v>
      </c>
      <c r="S5" s="160">
        <v>17</v>
      </c>
      <c r="T5" s="160">
        <v>18</v>
      </c>
      <c r="U5" s="160">
        <v>19</v>
      </c>
      <c r="V5" s="160">
        <v>20</v>
      </c>
      <c r="W5" s="160">
        <v>21</v>
      </c>
      <c r="X5" s="160">
        <v>22</v>
      </c>
      <c r="Y5" s="160">
        <v>23</v>
      </c>
      <c r="Z5" s="160">
        <v>24</v>
      </c>
      <c r="AA5" s="160">
        <v>25</v>
      </c>
      <c r="AB5" s="160">
        <v>26</v>
      </c>
      <c r="AC5" s="160">
        <v>27</v>
      </c>
      <c r="AD5" s="160">
        <v>28</v>
      </c>
      <c r="AE5" s="160">
        <v>29</v>
      </c>
      <c r="AF5" s="160">
        <v>30</v>
      </c>
      <c r="AG5" s="160">
        <v>31</v>
      </c>
      <c r="AH5" s="160"/>
      <c r="AI5" s="159"/>
      <c r="AJ5" s="154"/>
    </row>
    <row r="6" spans="1:36">
      <c r="A6" s="161" t="s">
        <v>7</v>
      </c>
      <c r="B6" s="162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8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3"/>
      <c r="AJ6" s="173"/>
    </row>
    <row r="7" spans="1:36">
      <c r="A7" s="258" t="s">
        <v>492</v>
      </c>
      <c r="B7" s="162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163"/>
      <c r="AJ7" s="173"/>
    </row>
    <row r="8" spans="1:36">
      <c r="A8" s="166" t="s">
        <v>356</v>
      </c>
      <c r="B8" s="191"/>
      <c r="C8" s="163"/>
      <c r="D8" s="163"/>
      <c r="E8" s="163"/>
      <c r="F8" s="163"/>
      <c r="G8" s="163"/>
      <c r="H8" s="239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5"/>
      <c r="AJ8" s="154"/>
    </row>
    <row r="9" spans="1:36">
      <c r="A9" s="166" t="s">
        <v>480</v>
      </c>
      <c r="B9" s="191"/>
      <c r="C9" s="273"/>
      <c r="D9" s="273"/>
      <c r="E9" s="273"/>
      <c r="F9" s="273"/>
      <c r="G9" s="273"/>
      <c r="H9" s="171"/>
      <c r="I9" s="171"/>
      <c r="J9" s="170"/>
      <c r="K9" s="171"/>
      <c r="L9" s="171"/>
      <c r="M9" s="171"/>
      <c r="N9" s="171"/>
      <c r="O9" s="171"/>
      <c r="P9" s="171"/>
      <c r="Q9" s="171"/>
      <c r="R9" s="273"/>
      <c r="S9" s="170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165"/>
      <c r="AJ9" s="173"/>
    </row>
    <row r="10" spans="1:36">
      <c r="A10" s="166" t="s">
        <v>527</v>
      </c>
      <c r="B10" s="191"/>
      <c r="C10" s="273"/>
      <c r="D10" s="273"/>
      <c r="E10" s="273"/>
      <c r="F10" s="273"/>
      <c r="G10" s="273"/>
      <c r="H10" s="171"/>
      <c r="I10" s="170"/>
      <c r="J10" s="170"/>
      <c r="K10" s="171"/>
      <c r="L10" s="171"/>
      <c r="M10" s="171"/>
      <c r="N10" s="171"/>
      <c r="O10" s="171"/>
      <c r="P10" s="171"/>
      <c r="Q10" s="171"/>
      <c r="R10" s="273"/>
      <c r="S10" s="170"/>
      <c r="T10" s="171"/>
      <c r="U10" s="273"/>
      <c r="V10" s="171"/>
      <c r="W10" s="175"/>
      <c r="X10" s="175"/>
      <c r="Y10" s="273"/>
      <c r="Z10" s="273"/>
      <c r="AA10" s="273"/>
      <c r="AB10" s="175"/>
      <c r="AC10" s="273"/>
      <c r="AD10" s="175"/>
      <c r="AE10" s="175">
        <v>307623565</v>
      </c>
      <c r="AF10" s="273"/>
      <c r="AG10" s="273"/>
      <c r="AH10" s="273"/>
      <c r="AI10" s="165"/>
      <c r="AJ10" s="173"/>
    </row>
    <row r="11" spans="1:36">
      <c r="A11" s="166" t="s">
        <v>10</v>
      </c>
      <c r="B11" s="191"/>
      <c r="C11" s="273"/>
      <c r="D11" s="273"/>
      <c r="E11" s="273"/>
      <c r="F11" s="273"/>
      <c r="G11" s="273"/>
      <c r="H11" s="171"/>
      <c r="I11" s="273"/>
      <c r="J11" s="273"/>
      <c r="K11" s="171"/>
      <c r="L11" s="171"/>
      <c r="M11" s="171"/>
      <c r="N11" s="171"/>
      <c r="O11" s="171"/>
      <c r="P11" s="171"/>
      <c r="Q11" s="171"/>
      <c r="R11" s="171"/>
      <c r="S11" s="171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165"/>
      <c r="AJ11" s="173"/>
    </row>
    <row r="12" spans="1:36">
      <c r="A12" s="166" t="s">
        <v>205</v>
      </c>
      <c r="B12" s="19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274"/>
      <c r="AI12" s="165"/>
      <c r="AJ12" s="234"/>
    </row>
    <row r="13" spans="1:36">
      <c r="A13" s="166" t="s">
        <v>206</v>
      </c>
      <c r="B13" s="19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274"/>
      <c r="AI13" s="165"/>
      <c r="AJ13" s="234">
        <f>SUM(AI12:AI13)</f>
        <v>0</v>
      </c>
    </row>
    <row r="14" spans="1:36">
      <c r="A14" s="166" t="s">
        <v>377</v>
      </c>
      <c r="B14" s="19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65"/>
      <c r="AJ14" s="234"/>
    </row>
    <row r="15" spans="1:36">
      <c r="A15" s="166" t="s">
        <v>261</v>
      </c>
      <c r="B15" s="19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65"/>
      <c r="AJ15" s="234"/>
    </row>
    <row r="16" spans="1:36">
      <c r="A16" s="166" t="s">
        <v>537</v>
      </c>
      <c r="B16" s="19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5"/>
      <c r="X16" s="175"/>
      <c r="Y16" s="171"/>
      <c r="Z16" s="171"/>
      <c r="AA16" s="175"/>
      <c r="AB16" s="175"/>
      <c r="AC16" s="171"/>
      <c r="AD16" s="175"/>
      <c r="AE16" s="175">
        <v>535573737</v>
      </c>
      <c r="AF16" s="171"/>
      <c r="AG16" s="171"/>
      <c r="AH16" s="169"/>
      <c r="AI16" s="165"/>
      <c r="AJ16" s="234"/>
    </row>
    <row r="17" spans="1:38">
      <c r="A17" s="166" t="s">
        <v>538</v>
      </c>
      <c r="B17" s="19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5"/>
      <c r="X17" s="175"/>
      <c r="Y17" s="171"/>
      <c r="Z17" s="171"/>
      <c r="AA17" s="175"/>
      <c r="AB17" s="175"/>
      <c r="AC17" s="171"/>
      <c r="AD17" s="175"/>
      <c r="AE17" s="175">
        <v>109088154</v>
      </c>
      <c r="AF17" s="171"/>
      <c r="AG17" s="171"/>
      <c r="AH17" s="169"/>
      <c r="AI17" s="165"/>
      <c r="AJ17" s="234"/>
    </row>
    <row r="18" spans="1:38">
      <c r="A18" s="166" t="s">
        <v>17</v>
      </c>
      <c r="B18" s="19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65"/>
      <c r="AJ18" s="234"/>
    </row>
    <row r="19" spans="1:38">
      <c r="A19" s="166" t="s">
        <v>18</v>
      </c>
      <c r="B19" s="191"/>
      <c r="C19" s="273"/>
      <c r="D19" s="273"/>
      <c r="E19" s="273"/>
      <c r="F19" s="273"/>
      <c r="G19" s="273"/>
      <c r="H19" s="171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165"/>
      <c r="AJ19" s="233"/>
    </row>
    <row r="20" spans="1:38">
      <c r="A20" s="166" t="s">
        <v>19</v>
      </c>
      <c r="B20" s="191"/>
      <c r="C20" s="273"/>
      <c r="D20" s="273"/>
      <c r="E20" s="273"/>
      <c r="F20" s="273"/>
      <c r="G20" s="273"/>
      <c r="H20" s="171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165"/>
      <c r="AJ20" s="233"/>
    </row>
    <row r="21" spans="1:38">
      <c r="A21" s="166" t="s">
        <v>528</v>
      </c>
      <c r="B21" s="191"/>
      <c r="C21" s="273"/>
      <c r="D21" s="273"/>
      <c r="E21" s="273"/>
      <c r="F21" s="273"/>
      <c r="G21" s="273"/>
      <c r="H21" s="171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171"/>
      <c r="AC21" s="273"/>
      <c r="AD21" s="273"/>
      <c r="AE21" s="273"/>
      <c r="AF21" s="273"/>
      <c r="AG21" s="273"/>
      <c r="AH21" s="275"/>
      <c r="AI21" s="165"/>
      <c r="AJ21" s="233"/>
    </row>
    <row r="22" spans="1:38">
      <c r="A22" s="166" t="s">
        <v>530</v>
      </c>
      <c r="B22" s="191"/>
      <c r="C22" s="273"/>
      <c r="D22" s="273"/>
      <c r="E22" s="273"/>
      <c r="F22" s="273"/>
      <c r="G22" s="273"/>
      <c r="H22" s="171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171"/>
      <c r="AC22" s="273"/>
      <c r="AD22" s="273"/>
      <c r="AE22" s="273"/>
      <c r="AF22" s="273"/>
      <c r="AG22" s="273"/>
      <c r="AH22" s="275"/>
      <c r="AI22" s="165"/>
      <c r="AJ22" s="233"/>
    </row>
    <row r="23" spans="1:38">
      <c r="A23" s="166" t="s">
        <v>43</v>
      </c>
      <c r="B23" s="191"/>
      <c r="C23" s="273"/>
      <c r="D23" s="273"/>
      <c r="E23" s="273"/>
      <c r="F23" s="273"/>
      <c r="G23" s="273"/>
      <c r="H23" s="171"/>
      <c r="I23" s="171"/>
      <c r="J23" s="273"/>
      <c r="K23" s="273"/>
      <c r="L23" s="171"/>
      <c r="M23" s="273"/>
      <c r="N23" s="273"/>
      <c r="O23" s="273"/>
      <c r="P23" s="273"/>
      <c r="Q23" s="273"/>
      <c r="R23" s="170"/>
      <c r="S23" s="273"/>
      <c r="T23" s="273"/>
      <c r="U23" s="171"/>
      <c r="V23" s="171"/>
      <c r="W23" s="273"/>
      <c r="X23" s="273"/>
      <c r="Y23" s="273"/>
      <c r="Z23" s="273"/>
      <c r="AA23" s="273"/>
      <c r="AB23" s="171"/>
      <c r="AC23" s="273"/>
      <c r="AD23" s="273"/>
      <c r="AE23" s="273"/>
      <c r="AF23" s="273"/>
      <c r="AG23" s="273"/>
      <c r="AH23" s="273"/>
      <c r="AI23" s="165"/>
      <c r="AJ23" s="233"/>
    </row>
    <row r="24" spans="1:38">
      <c r="A24" s="166" t="s">
        <v>318</v>
      </c>
      <c r="B24" s="191"/>
      <c r="C24" s="170"/>
      <c r="D24" s="170"/>
      <c r="E24" s="170"/>
      <c r="F24" s="170"/>
      <c r="G24" s="273"/>
      <c r="H24" s="171"/>
      <c r="I24" s="171"/>
      <c r="J24" s="170"/>
      <c r="K24" s="170"/>
      <c r="L24" s="171"/>
      <c r="M24" s="170"/>
      <c r="N24" s="170"/>
      <c r="O24" s="273"/>
      <c r="P24" s="170"/>
      <c r="Q24" s="170"/>
      <c r="R24" s="273"/>
      <c r="S24" s="171"/>
      <c r="T24" s="170"/>
      <c r="U24" s="171"/>
      <c r="V24" s="171"/>
      <c r="W24" s="170"/>
      <c r="X24" s="170"/>
      <c r="Y24" s="170"/>
      <c r="Z24" s="170"/>
      <c r="AA24" s="170"/>
      <c r="AB24" s="171"/>
      <c r="AC24" s="170"/>
      <c r="AD24" s="171"/>
      <c r="AE24" s="170"/>
      <c r="AF24" s="170"/>
      <c r="AG24" s="170"/>
      <c r="AH24" s="170"/>
      <c r="AI24" s="165"/>
      <c r="AJ24" s="233"/>
    </row>
    <row r="25" spans="1:38">
      <c r="A25" s="166" t="s">
        <v>447</v>
      </c>
      <c r="B25" s="191"/>
      <c r="C25" s="170"/>
      <c r="D25" s="170"/>
      <c r="E25" s="170"/>
      <c r="F25" s="170"/>
      <c r="G25" s="273"/>
      <c r="H25" s="171"/>
      <c r="I25" s="171"/>
      <c r="J25" s="170"/>
      <c r="K25" s="170"/>
      <c r="L25" s="171"/>
      <c r="M25" s="170"/>
      <c r="N25" s="170"/>
      <c r="O25" s="273"/>
      <c r="P25" s="170"/>
      <c r="Q25" s="170"/>
      <c r="R25" s="273"/>
      <c r="S25" s="171"/>
      <c r="T25" s="170"/>
      <c r="U25" s="171"/>
      <c r="V25" s="171"/>
      <c r="W25" s="170"/>
      <c r="X25" s="170"/>
      <c r="Y25" s="170"/>
      <c r="Z25" s="170"/>
      <c r="AA25" s="170"/>
      <c r="AB25" s="171"/>
      <c r="AC25" s="170"/>
      <c r="AD25" s="170"/>
      <c r="AE25" s="170"/>
      <c r="AF25" s="170"/>
      <c r="AG25" s="170"/>
      <c r="AH25" s="170"/>
      <c r="AI25" s="165"/>
      <c r="AJ25" s="233"/>
    </row>
    <row r="26" spans="1:38">
      <c r="A26" s="166" t="s">
        <v>348</v>
      </c>
      <c r="B26" s="191"/>
      <c r="C26" s="273"/>
      <c r="D26" s="273"/>
      <c r="E26" s="273"/>
      <c r="F26" s="273"/>
      <c r="G26" s="171"/>
      <c r="H26" s="171"/>
      <c r="I26" s="171"/>
      <c r="J26" s="273"/>
      <c r="K26" s="273"/>
      <c r="L26" s="273"/>
      <c r="M26" s="273"/>
      <c r="N26" s="273"/>
      <c r="O26" s="170"/>
      <c r="P26" s="273"/>
      <c r="Q26" s="273"/>
      <c r="R26" s="273"/>
      <c r="S26" s="171"/>
      <c r="T26" s="273"/>
      <c r="U26" s="171"/>
      <c r="V26" s="171"/>
      <c r="W26" s="273"/>
      <c r="X26" s="273"/>
      <c r="Y26" s="273"/>
      <c r="Z26" s="273"/>
      <c r="AA26" s="273"/>
      <c r="AB26" s="171"/>
      <c r="AC26" s="273"/>
      <c r="AD26" s="273"/>
      <c r="AE26" s="273"/>
      <c r="AF26" s="273"/>
      <c r="AG26" s="273"/>
      <c r="AH26" s="273"/>
      <c r="AI26" s="165"/>
      <c r="AJ26" s="235"/>
    </row>
    <row r="27" spans="1:38">
      <c r="A27" s="166" t="s">
        <v>354</v>
      </c>
      <c r="B27" s="191"/>
      <c r="C27" s="273"/>
      <c r="D27" s="273"/>
      <c r="E27" s="273"/>
      <c r="F27" s="273"/>
      <c r="G27" s="171"/>
      <c r="H27" s="171"/>
      <c r="I27" s="273"/>
      <c r="J27" s="273"/>
      <c r="K27" s="273"/>
      <c r="L27" s="273"/>
      <c r="M27" s="273"/>
      <c r="N27" s="273"/>
      <c r="O27" s="170"/>
      <c r="P27" s="273"/>
      <c r="Q27" s="273"/>
      <c r="R27" s="273"/>
      <c r="S27" s="171"/>
      <c r="T27" s="273"/>
      <c r="U27" s="273"/>
      <c r="V27" s="273"/>
      <c r="W27" s="273"/>
      <c r="X27" s="273"/>
      <c r="Y27" s="273"/>
      <c r="Z27" s="273">
        <v>32701022</v>
      </c>
      <c r="AA27" s="273"/>
      <c r="AB27" s="273"/>
      <c r="AC27" s="273"/>
      <c r="AD27" s="273"/>
      <c r="AE27" s="273"/>
      <c r="AF27" s="273"/>
      <c r="AG27" s="273"/>
      <c r="AH27" s="273"/>
      <c r="AI27" s="165"/>
      <c r="AJ27" s="235"/>
    </row>
    <row r="28" spans="1:38">
      <c r="A28" s="166" t="s">
        <v>350</v>
      </c>
      <c r="B28" s="191"/>
      <c r="C28" s="273"/>
      <c r="D28" s="273"/>
      <c r="E28" s="273"/>
      <c r="F28" s="273"/>
      <c r="G28" s="273"/>
      <c r="H28" s="171"/>
      <c r="I28" s="273"/>
      <c r="J28" s="273"/>
      <c r="K28" s="273"/>
      <c r="L28" s="273"/>
      <c r="M28" s="273"/>
      <c r="N28" s="273"/>
      <c r="O28" s="170"/>
      <c r="P28" s="273"/>
      <c r="Q28" s="273"/>
      <c r="R28" s="170"/>
      <c r="S28" s="273"/>
      <c r="T28" s="273"/>
      <c r="U28" s="170"/>
      <c r="V28" s="170"/>
      <c r="W28" s="273"/>
      <c r="X28" s="273"/>
      <c r="Y28" s="273"/>
      <c r="Z28" s="273"/>
      <c r="AA28" s="273"/>
      <c r="AB28" s="170"/>
      <c r="AC28" s="273"/>
      <c r="AD28" s="273"/>
      <c r="AE28" s="273"/>
      <c r="AF28" s="273"/>
      <c r="AG28" s="273">
        <v>49799326</v>
      </c>
      <c r="AH28" s="273"/>
      <c r="AI28" s="165"/>
      <c r="AJ28" s="235"/>
    </row>
    <row r="29" spans="1:38">
      <c r="A29" s="166" t="s">
        <v>494</v>
      </c>
      <c r="B29" s="191"/>
      <c r="C29" s="273"/>
      <c r="D29" s="273"/>
      <c r="E29" s="273"/>
      <c r="F29" s="273"/>
      <c r="G29" s="273"/>
      <c r="H29" s="171"/>
      <c r="I29" s="273"/>
      <c r="J29" s="273"/>
      <c r="K29" s="273"/>
      <c r="L29" s="273"/>
      <c r="M29" s="273"/>
      <c r="N29" s="273"/>
      <c r="O29" s="170"/>
      <c r="P29" s="273"/>
      <c r="Q29" s="273"/>
      <c r="R29" s="170"/>
      <c r="S29" s="273"/>
      <c r="T29" s="273"/>
      <c r="U29" s="170"/>
      <c r="V29" s="170"/>
      <c r="W29" s="273"/>
      <c r="X29" s="273"/>
      <c r="Y29" s="273"/>
      <c r="Z29" s="273"/>
      <c r="AA29" s="273"/>
      <c r="AB29" s="170"/>
      <c r="AC29" s="273"/>
      <c r="AD29" s="273"/>
      <c r="AE29" s="273"/>
      <c r="AF29" s="273"/>
      <c r="AG29" s="273"/>
      <c r="AH29" s="273"/>
      <c r="AI29" s="165"/>
      <c r="AJ29" s="235"/>
    </row>
    <row r="30" spans="1:38">
      <c r="A30" s="166" t="s">
        <v>194</v>
      </c>
      <c r="B30" s="19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274"/>
      <c r="AI30" s="165"/>
      <c r="AJ30" s="234"/>
    </row>
    <row r="31" spans="1:38">
      <c r="A31" s="166" t="s">
        <v>192</v>
      </c>
      <c r="B31" s="19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274"/>
      <c r="AI31" s="165"/>
      <c r="AJ31" s="234">
        <f>SUM(AI30:AI31)</f>
        <v>0</v>
      </c>
    </row>
    <row r="32" spans="1:38">
      <c r="A32" s="166" t="s">
        <v>326</v>
      </c>
      <c r="B32" s="19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274"/>
      <c r="AI32" s="165"/>
      <c r="AJ32" s="234"/>
      <c r="AK32" s="184"/>
      <c r="AL32" s="186">
        <f>6325269+60889034</f>
        <v>67214303</v>
      </c>
    </row>
    <row r="33" spans="1:38">
      <c r="A33" s="187" t="s">
        <v>327</v>
      </c>
      <c r="B33" s="19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274"/>
      <c r="AI33" s="165"/>
      <c r="AJ33" s="234"/>
      <c r="AK33" s="184"/>
      <c r="AL33" s="186"/>
    </row>
    <row r="34" spans="1:38">
      <c r="A34" s="187" t="s">
        <v>328</v>
      </c>
      <c r="B34" s="19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274"/>
      <c r="AI34" s="165"/>
      <c r="AJ34" s="234"/>
      <c r="AK34" s="184"/>
      <c r="AL34" s="185"/>
    </row>
    <row r="35" spans="1:38">
      <c r="A35" s="187" t="s">
        <v>330</v>
      </c>
      <c r="B35" s="19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274"/>
      <c r="AI35" s="165"/>
      <c r="AJ35" s="234">
        <f>SUM(AI32:AI35)</f>
        <v>0</v>
      </c>
      <c r="AK35" s="184"/>
      <c r="AL35" s="185"/>
    </row>
    <row r="36" spans="1:38">
      <c r="A36" s="166" t="s">
        <v>24</v>
      </c>
      <c r="B36" s="191"/>
      <c r="C36" s="171"/>
      <c r="D36" s="171"/>
      <c r="E36" s="171"/>
      <c r="F36" s="171"/>
      <c r="G36" s="170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0"/>
      <c r="S36" s="171"/>
      <c r="T36" s="171"/>
      <c r="U36" s="170"/>
      <c r="V36" s="170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65"/>
      <c r="AJ36" s="235"/>
      <c r="AK36" s="189"/>
    </row>
    <row r="37" spans="1:38">
      <c r="A37" s="166" t="s">
        <v>529</v>
      </c>
      <c r="B37" s="19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5"/>
      <c r="X37" s="172"/>
      <c r="Y37" s="175"/>
      <c r="Z37" s="175"/>
      <c r="AA37" s="172">
        <v>1202065257</v>
      </c>
      <c r="AB37" s="171"/>
      <c r="AC37" s="171"/>
      <c r="AD37" s="171"/>
      <c r="AE37" s="171"/>
      <c r="AF37" s="171"/>
      <c r="AG37" s="171"/>
      <c r="AH37" s="171"/>
      <c r="AI37" s="165"/>
      <c r="AJ37" s="234"/>
      <c r="AK37" s="189"/>
    </row>
    <row r="38" spans="1:38">
      <c r="A38" s="166" t="s">
        <v>529</v>
      </c>
      <c r="B38" s="19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5"/>
      <c r="X38" s="175"/>
      <c r="Y38" s="175"/>
      <c r="Z38" s="175"/>
      <c r="AA38" s="175"/>
      <c r="AB38" s="175"/>
      <c r="AC38" s="171"/>
      <c r="AD38" s="175"/>
      <c r="AE38" s="175">
        <v>866353302</v>
      </c>
      <c r="AF38" s="171"/>
      <c r="AG38" s="171"/>
      <c r="AH38" s="171"/>
      <c r="AI38" s="165"/>
      <c r="AJ38" s="234"/>
      <c r="AK38" s="189"/>
    </row>
    <row r="39" spans="1:38">
      <c r="A39" s="166" t="s">
        <v>493</v>
      </c>
      <c r="B39" s="19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65"/>
      <c r="AJ39" s="234"/>
      <c r="AK39" s="189"/>
    </row>
    <row r="40" spans="1:38">
      <c r="A40" s="166" t="s">
        <v>333</v>
      </c>
      <c r="B40" s="191"/>
      <c r="C40" s="273"/>
      <c r="D40" s="273"/>
      <c r="E40" s="273"/>
      <c r="F40" s="273"/>
      <c r="G40" s="273"/>
      <c r="H40" s="171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  <c r="AH40" s="275"/>
      <c r="AI40" s="165"/>
      <c r="AJ40" s="233"/>
    </row>
    <row r="41" spans="1:38">
      <c r="A41" s="166" t="s">
        <v>334</v>
      </c>
      <c r="B41" s="191"/>
      <c r="C41" s="273"/>
      <c r="D41" s="273"/>
      <c r="E41" s="273"/>
      <c r="F41" s="273"/>
      <c r="G41" s="273"/>
      <c r="H41" s="171"/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273"/>
      <c r="U41" s="273"/>
      <c r="V41" s="273"/>
      <c r="W41" s="273"/>
      <c r="X41" s="273"/>
      <c r="Y41" s="273"/>
      <c r="Z41" s="273"/>
      <c r="AA41" s="273"/>
      <c r="AB41" s="273"/>
      <c r="AC41" s="273"/>
      <c r="AD41" s="273"/>
      <c r="AE41" s="273"/>
      <c r="AF41" s="273"/>
      <c r="AG41" s="273"/>
      <c r="AH41" s="275"/>
      <c r="AI41" s="165"/>
      <c r="AJ41" s="233"/>
    </row>
    <row r="42" spans="1:38">
      <c r="A42" s="166" t="s">
        <v>335</v>
      </c>
      <c r="B42" s="191"/>
      <c r="C42" s="273"/>
      <c r="D42" s="273"/>
      <c r="E42" s="273"/>
      <c r="F42" s="273"/>
      <c r="G42" s="273"/>
      <c r="H42" s="171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5"/>
      <c r="AI42" s="165"/>
      <c r="AJ42" s="233"/>
      <c r="AK42" s="189"/>
    </row>
    <row r="43" spans="1:38">
      <c r="A43" s="166" t="s">
        <v>336</v>
      </c>
      <c r="B43" s="191"/>
      <c r="C43" s="273"/>
      <c r="D43" s="273"/>
      <c r="E43" s="273"/>
      <c r="F43" s="273"/>
      <c r="G43" s="273"/>
      <c r="H43" s="171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275"/>
      <c r="AI43" s="165"/>
      <c r="AJ43" s="233">
        <f>SUM(AI40:AI43)</f>
        <v>0</v>
      </c>
    </row>
    <row r="44" spans="1:38">
      <c r="A44" s="166" t="s">
        <v>337</v>
      </c>
      <c r="B44" s="191"/>
      <c r="C44" s="273"/>
      <c r="D44" s="273"/>
      <c r="E44" s="273"/>
      <c r="F44" s="273"/>
      <c r="G44" s="273"/>
      <c r="H44" s="171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165"/>
      <c r="AJ44" s="233"/>
    </row>
    <row r="45" spans="1:38">
      <c r="A45" s="166" t="s">
        <v>27</v>
      </c>
      <c r="B45" s="191"/>
      <c r="C45" s="273"/>
      <c r="D45" s="273"/>
      <c r="E45" s="273"/>
      <c r="F45" s="273"/>
      <c r="G45" s="171"/>
      <c r="H45" s="171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>
        <v>193140000</v>
      </c>
      <c r="AA45" s="273"/>
      <c r="AB45" s="273">
        <v>29500000</v>
      </c>
      <c r="AC45" s="273"/>
      <c r="AD45" s="273"/>
      <c r="AE45" s="273"/>
      <c r="AF45" s="273"/>
      <c r="AG45" s="273"/>
      <c r="AH45" s="273"/>
      <c r="AI45" s="165"/>
      <c r="AJ45" s="233"/>
    </row>
    <row r="46" spans="1:38">
      <c r="A46" s="187" t="s">
        <v>422</v>
      </c>
      <c r="B46" s="191"/>
      <c r="C46" s="273"/>
      <c r="D46" s="273"/>
      <c r="E46" s="273"/>
      <c r="F46" s="273"/>
      <c r="G46" s="273"/>
      <c r="H46" s="171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165"/>
      <c r="AJ46" s="233"/>
    </row>
    <row r="47" spans="1:38">
      <c r="A47" s="187" t="s">
        <v>423</v>
      </c>
      <c r="B47" s="191"/>
      <c r="C47" s="273"/>
      <c r="D47" s="273"/>
      <c r="E47" s="273"/>
      <c r="F47" s="273"/>
      <c r="G47" s="273"/>
      <c r="H47" s="171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165"/>
      <c r="AJ47" s="233"/>
    </row>
    <row r="48" spans="1:38">
      <c r="A48" s="187" t="s">
        <v>424</v>
      </c>
      <c r="B48" s="191"/>
      <c r="C48" s="273"/>
      <c r="D48" s="273"/>
      <c r="E48" s="273"/>
      <c r="F48" s="273"/>
      <c r="G48" s="273"/>
      <c r="H48" s="171"/>
      <c r="I48" s="273"/>
      <c r="J48" s="273"/>
      <c r="K48" s="273"/>
      <c r="L48" s="171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3"/>
      <c r="Z48" s="273"/>
      <c r="AA48" s="273"/>
      <c r="AB48" s="273"/>
      <c r="AC48" s="273"/>
      <c r="AD48" s="273"/>
      <c r="AE48" s="273"/>
      <c r="AF48" s="273"/>
      <c r="AG48" s="273"/>
      <c r="AH48" s="273"/>
      <c r="AI48" s="165"/>
      <c r="AJ48" s="233"/>
    </row>
    <row r="49" spans="1:36">
      <c r="A49" s="166" t="s">
        <v>30</v>
      </c>
      <c r="B49" s="191"/>
      <c r="C49" s="170"/>
      <c r="D49" s="170"/>
      <c r="E49" s="170"/>
      <c r="F49" s="170"/>
      <c r="G49" s="170"/>
      <c r="H49" s="171"/>
      <c r="I49" s="170"/>
      <c r="J49" s="170"/>
      <c r="K49" s="170"/>
      <c r="L49" s="171"/>
      <c r="M49" s="170"/>
      <c r="N49" s="170"/>
      <c r="O49" s="170"/>
      <c r="P49" s="170"/>
      <c r="Q49" s="170"/>
      <c r="R49" s="170"/>
      <c r="S49" s="170"/>
      <c r="T49" s="170"/>
      <c r="U49" s="273"/>
      <c r="V49" s="273"/>
      <c r="W49" s="171"/>
      <c r="X49" s="171"/>
      <c r="Y49" s="273"/>
      <c r="Z49" s="171"/>
      <c r="AA49" s="273"/>
      <c r="AB49" s="273"/>
      <c r="AC49" s="273"/>
      <c r="AD49" s="273"/>
      <c r="AE49" s="273"/>
      <c r="AF49" s="273"/>
      <c r="AG49" s="170"/>
      <c r="AH49" s="170"/>
      <c r="AI49" s="165"/>
      <c r="AJ49" s="170"/>
    </row>
    <row r="50" spans="1:36">
      <c r="A50" s="166" t="s">
        <v>347</v>
      </c>
      <c r="B50" s="191"/>
      <c r="C50" s="170"/>
      <c r="D50" s="170"/>
      <c r="E50" s="170"/>
      <c r="F50" s="170"/>
      <c r="G50" s="170"/>
      <c r="H50" s="171"/>
      <c r="I50" s="170"/>
      <c r="J50" s="170"/>
      <c r="K50" s="170"/>
      <c r="L50" s="171"/>
      <c r="M50" s="170"/>
      <c r="N50" s="170"/>
      <c r="O50" s="170"/>
      <c r="P50" s="170"/>
      <c r="Q50" s="170"/>
      <c r="R50" s="170"/>
      <c r="S50" s="170"/>
      <c r="T50" s="170"/>
      <c r="U50" s="273"/>
      <c r="V50" s="273"/>
      <c r="W50" s="170"/>
      <c r="X50" s="170"/>
      <c r="Y50" s="273"/>
      <c r="Z50" s="273"/>
      <c r="AA50" s="273"/>
      <c r="AB50" s="273"/>
      <c r="AC50" s="273"/>
      <c r="AD50" s="273"/>
      <c r="AE50" s="273"/>
      <c r="AF50" s="273"/>
      <c r="AG50" s="170"/>
      <c r="AH50" s="170"/>
      <c r="AI50" s="165"/>
      <c r="AJ50" s="170"/>
    </row>
    <row r="51" spans="1:36">
      <c r="A51" s="192" t="s">
        <v>476</v>
      </c>
      <c r="B51" s="191"/>
      <c r="C51" s="273"/>
      <c r="D51" s="273"/>
      <c r="E51" s="273"/>
      <c r="F51" s="273"/>
      <c r="G51" s="171"/>
      <c r="H51" s="171"/>
      <c r="I51" s="273"/>
      <c r="J51" s="273"/>
      <c r="K51" s="273"/>
      <c r="L51" s="171"/>
      <c r="M51" s="273"/>
      <c r="N51" s="273"/>
      <c r="O51" s="273"/>
      <c r="P51" s="273"/>
      <c r="Q51" s="273"/>
      <c r="R51" s="170"/>
      <c r="S51" s="273"/>
      <c r="T51" s="273"/>
      <c r="U51" s="273"/>
      <c r="V51" s="273"/>
      <c r="W51" s="273"/>
      <c r="X51" s="273"/>
      <c r="Y51" s="273"/>
      <c r="Z51" s="273"/>
      <c r="AA51" s="273"/>
      <c r="AB51" s="273">
        <v>70010000</v>
      </c>
      <c r="AC51" s="273"/>
      <c r="AD51" s="273"/>
      <c r="AE51" s="273"/>
      <c r="AF51" s="273"/>
      <c r="AG51" s="273"/>
      <c r="AH51" s="273"/>
      <c r="AI51" s="165"/>
      <c r="AJ51" s="167"/>
    </row>
    <row r="52" spans="1:36">
      <c r="A52" s="192" t="s">
        <v>47</v>
      </c>
      <c r="B52" s="191"/>
      <c r="C52" s="273"/>
      <c r="D52" s="273"/>
      <c r="E52" s="273"/>
      <c r="F52" s="273"/>
      <c r="G52" s="273"/>
      <c r="H52" s="171"/>
      <c r="I52" s="273"/>
      <c r="J52" s="273"/>
      <c r="K52" s="273"/>
      <c r="L52" s="171"/>
      <c r="M52" s="273"/>
      <c r="N52" s="171"/>
      <c r="O52" s="171"/>
      <c r="P52" s="171"/>
      <c r="Q52" s="273"/>
      <c r="R52" s="170"/>
      <c r="S52" s="171"/>
      <c r="T52" s="171"/>
      <c r="U52" s="273"/>
      <c r="V52" s="273"/>
      <c r="W52" s="273"/>
      <c r="X52" s="273"/>
      <c r="Y52" s="273"/>
      <c r="Z52" s="273"/>
      <c r="AA52" s="273"/>
      <c r="AB52" s="273"/>
      <c r="AC52" s="273"/>
      <c r="AD52" s="273">
        <v>17070000</v>
      </c>
      <c r="AE52" s="273"/>
      <c r="AF52" s="273"/>
      <c r="AG52" s="273"/>
      <c r="AH52" s="273"/>
      <c r="AI52" s="165"/>
      <c r="AJ52" s="167"/>
    </row>
    <row r="53" spans="1:36">
      <c r="A53" s="192" t="s">
        <v>213</v>
      </c>
      <c r="B53" s="191"/>
      <c r="C53" s="273"/>
      <c r="D53" s="273"/>
      <c r="E53" s="273"/>
      <c r="F53" s="273"/>
      <c r="G53" s="273"/>
      <c r="H53" s="171"/>
      <c r="I53" s="273"/>
      <c r="J53" s="273"/>
      <c r="K53" s="273"/>
      <c r="L53" s="171"/>
      <c r="M53" s="273"/>
      <c r="N53" s="273"/>
      <c r="O53" s="273"/>
      <c r="P53" s="273"/>
      <c r="Q53" s="273"/>
      <c r="R53" s="171"/>
      <c r="S53" s="273"/>
      <c r="T53" s="273"/>
      <c r="U53" s="171"/>
      <c r="V53" s="171"/>
      <c r="W53" s="273"/>
      <c r="X53" s="273"/>
      <c r="Y53" s="273"/>
      <c r="Z53" s="273"/>
      <c r="AA53" s="273"/>
      <c r="AB53" s="273"/>
      <c r="AC53" s="273"/>
      <c r="AD53" s="273">
        <v>650000000</v>
      </c>
      <c r="AE53" s="273"/>
      <c r="AF53" s="273"/>
      <c r="AG53" s="273"/>
      <c r="AH53" s="273"/>
      <c r="AI53" s="165"/>
      <c r="AJ53" s="167"/>
    </row>
    <row r="54" spans="1:36">
      <c r="A54" s="192" t="s">
        <v>119</v>
      </c>
      <c r="B54" s="191"/>
      <c r="C54" s="171"/>
      <c r="D54" s="171"/>
      <c r="E54" s="171"/>
      <c r="F54" s="171"/>
      <c r="G54" s="171"/>
      <c r="H54" s="171"/>
      <c r="I54" s="171"/>
      <c r="J54" s="171"/>
      <c r="K54" s="276"/>
      <c r="L54" s="276"/>
      <c r="M54" s="171"/>
      <c r="N54" s="276"/>
      <c r="O54" s="276"/>
      <c r="P54" s="276"/>
      <c r="Q54" s="171"/>
      <c r="R54" s="171"/>
      <c r="S54" s="276"/>
      <c r="T54" s="276"/>
      <c r="U54" s="171"/>
      <c r="V54" s="276"/>
      <c r="W54" s="175"/>
      <c r="X54" s="175"/>
      <c r="Y54" s="171"/>
      <c r="Z54" s="171"/>
      <c r="AA54" s="171"/>
      <c r="AB54" s="175"/>
      <c r="AC54" s="171"/>
      <c r="AD54" s="175"/>
      <c r="AE54" s="175">
        <v>3500000000</v>
      </c>
      <c r="AF54" s="171"/>
      <c r="AG54" s="171"/>
      <c r="AH54" s="171"/>
      <c r="AI54" s="165"/>
      <c r="AJ54" s="175"/>
    </row>
    <row r="55" spans="1:36">
      <c r="A55" s="195" t="s">
        <v>32</v>
      </c>
      <c r="B55" s="196"/>
      <c r="C55" s="197">
        <f>SUM(C7:C54)</f>
        <v>0</v>
      </c>
      <c r="D55" s="197">
        <f t="shared" ref="D55:AI55" si="0">SUM(D7:D54)</f>
        <v>0</v>
      </c>
      <c r="E55" s="197">
        <f t="shared" si="0"/>
        <v>0</v>
      </c>
      <c r="F55" s="197">
        <f t="shared" si="0"/>
        <v>0</v>
      </c>
      <c r="G55" s="197">
        <f t="shared" si="0"/>
        <v>0</v>
      </c>
      <c r="H55" s="197">
        <f t="shared" si="0"/>
        <v>0</v>
      </c>
      <c r="I55" s="197">
        <f t="shared" si="0"/>
        <v>0</v>
      </c>
      <c r="J55" s="197">
        <f t="shared" si="0"/>
        <v>0</v>
      </c>
      <c r="K55" s="197">
        <f t="shared" si="0"/>
        <v>0</v>
      </c>
      <c r="L55" s="197">
        <f t="shared" si="0"/>
        <v>0</v>
      </c>
      <c r="M55" s="197">
        <f t="shared" si="0"/>
        <v>0</v>
      </c>
      <c r="N55" s="197">
        <f t="shared" si="0"/>
        <v>0</v>
      </c>
      <c r="O55" s="197">
        <f t="shared" si="0"/>
        <v>0</v>
      </c>
      <c r="P55" s="197">
        <f t="shared" si="0"/>
        <v>0</v>
      </c>
      <c r="Q55" s="197">
        <f t="shared" si="0"/>
        <v>0</v>
      </c>
      <c r="R55" s="197">
        <f t="shared" si="0"/>
        <v>0</v>
      </c>
      <c r="S55" s="197">
        <f t="shared" si="0"/>
        <v>0</v>
      </c>
      <c r="T55" s="197">
        <f>SUM(T7:T54)</f>
        <v>0</v>
      </c>
      <c r="U55" s="197">
        <f t="shared" si="0"/>
        <v>0</v>
      </c>
      <c r="V55" s="197">
        <f>SUM(V7:V54)</f>
        <v>0</v>
      </c>
      <c r="W55" s="197">
        <f>SUM(W7:W54)</f>
        <v>0</v>
      </c>
      <c r="X55" s="197">
        <f>SUM(X7:X54)</f>
        <v>0</v>
      </c>
      <c r="Y55" s="197">
        <f t="shared" si="0"/>
        <v>0</v>
      </c>
      <c r="Z55" s="197">
        <f t="shared" si="0"/>
        <v>225841022</v>
      </c>
      <c r="AA55" s="197">
        <f t="shared" si="0"/>
        <v>1202065257</v>
      </c>
      <c r="AB55" s="197">
        <f>SUM(AB7:AB54)</f>
        <v>99510000</v>
      </c>
      <c r="AC55" s="197">
        <f t="shared" si="0"/>
        <v>0</v>
      </c>
      <c r="AD55" s="197">
        <f t="shared" si="0"/>
        <v>667070000</v>
      </c>
      <c r="AE55" s="197">
        <f t="shared" si="0"/>
        <v>5318638758</v>
      </c>
      <c r="AF55" s="197">
        <f t="shared" si="0"/>
        <v>0</v>
      </c>
      <c r="AG55" s="197">
        <f t="shared" si="0"/>
        <v>49799326</v>
      </c>
      <c r="AH55" s="197">
        <f t="shared" si="0"/>
        <v>0</v>
      </c>
      <c r="AI55" s="197">
        <f t="shared" si="0"/>
        <v>0</v>
      </c>
    </row>
    <row r="56" spans="1:36">
      <c r="A56" s="199"/>
      <c r="B56" s="162"/>
      <c r="C56" s="200"/>
      <c r="D56" s="200"/>
      <c r="E56" s="165"/>
      <c r="F56" s="165"/>
      <c r="G56" s="165"/>
      <c r="H56" s="165"/>
      <c r="I56" s="165"/>
      <c r="J56" s="200"/>
      <c r="K56" s="200"/>
      <c r="L56" s="165"/>
      <c r="M56" s="165"/>
      <c r="N56" s="165"/>
      <c r="O56" s="200"/>
      <c r="P56" s="165"/>
      <c r="Q56" s="165"/>
      <c r="R56" s="165"/>
      <c r="S56" s="165"/>
      <c r="T56" s="165"/>
      <c r="U56" s="165"/>
      <c r="V56" s="165"/>
      <c r="W56" s="190">
        <v>0</v>
      </c>
      <c r="X56" s="190">
        <v>0</v>
      </c>
      <c r="Y56" s="190">
        <v>0</v>
      </c>
      <c r="Z56" s="190">
        <v>0</v>
      </c>
      <c r="AA56" s="190">
        <v>0</v>
      </c>
      <c r="AB56" s="190">
        <v>0</v>
      </c>
      <c r="AC56" s="165"/>
      <c r="AD56" s="165"/>
      <c r="AE56" s="165"/>
      <c r="AF56" s="165"/>
      <c r="AG56" s="165"/>
      <c r="AH56" s="165"/>
      <c r="AI56" s="201"/>
      <c r="AJ56" s="154"/>
    </row>
    <row r="57" spans="1:36">
      <c r="A57" s="202" t="s">
        <v>33</v>
      </c>
      <c r="B57" s="162"/>
      <c r="C57" s="200"/>
      <c r="D57" s="200"/>
      <c r="E57" s="165"/>
      <c r="F57" s="165"/>
      <c r="G57" s="200"/>
      <c r="H57" s="165"/>
      <c r="I57" s="165"/>
      <c r="J57" s="200"/>
      <c r="K57" s="200"/>
      <c r="L57" s="165"/>
      <c r="M57" s="165"/>
      <c r="N57" s="165"/>
      <c r="O57" s="200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200"/>
      <c r="AB57" s="200"/>
      <c r="AC57" s="165"/>
      <c r="AD57" s="165"/>
      <c r="AE57" s="165"/>
      <c r="AF57" s="165"/>
      <c r="AG57" s="165"/>
      <c r="AH57" s="165"/>
      <c r="AI57" s="201">
        <f t="shared" ref="AI57:AI82" si="1">SUM(B57:AG57)</f>
        <v>0</v>
      </c>
      <c r="AJ57" s="154"/>
    </row>
    <row r="58" spans="1:36">
      <c r="A58" s="203" t="s">
        <v>34</v>
      </c>
      <c r="B58" s="204"/>
      <c r="C58" s="205"/>
      <c r="D58" s="200"/>
      <c r="E58" s="200"/>
      <c r="F58" s="200"/>
      <c r="G58" s="200">
        <v>981505184</v>
      </c>
      <c r="H58" s="204"/>
      <c r="I58" s="200"/>
      <c r="J58" s="200"/>
      <c r="K58" s="200"/>
      <c r="L58" s="200"/>
      <c r="M58" s="200">
        <v>2556372883</v>
      </c>
      <c r="N58" s="200"/>
      <c r="O58" s="205"/>
      <c r="P58" s="200"/>
      <c r="Q58" s="200"/>
      <c r="R58" s="200"/>
      <c r="S58" s="200"/>
      <c r="T58" s="200"/>
      <c r="U58" s="207"/>
      <c r="V58" s="200"/>
      <c r="W58" s="204"/>
      <c r="X58" s="200"/>
      <c r="Y58" s="200"/>
      <c r="Z58" s="200"/>
      <c r="AA58" s="200"/>
      <c r="AB58" s="200"/>
      <c r="AC58" s="204"/>
      <c r="AD58" s="200"/>
      <c r="AE58" s="200"/>
      <c r="AF58" s="200"/>
      <c r="AG58" s="200">
        <v>729771640</v>
      </c>
      <c r="AH58" s="204"/>
      <c r="AI58" s="201">
        <f t="shared" si="1"/>
        <v>4267649707</v>
      </c>
      <c r="AJ58" s="173"/>
    </row>
    <row r="59" spans="1:36">
      <c r="A59" s="203" t="s">
        <v>34</v>
      </c>
      <c r="B59" s="204"/>
      <c r="C59" s="205"/>
      <c r="D59" s="200"/>
      <c r="E59" s="200"/>
      <c r="F59" s="200"/>
      <c r="G59" s="200"/>
      <c r="H59" s="204"/>
      <c r="I59" s="200"/>
      <c r="J59" s="200"/>
      <c r="K59" s="200"/>
      <c r="L59" s="200"/>
      <c r="M59" s="200">
        <v>4544967884</v>
      </c>
      <c r="N59" s="200"/>
      <c r="O59" s="205"/>
      <c r="P59" s="200"/>
      <c r="Q59" s="200"/>
      <c r="R59" s="200"/>
      <c r="S59" s="200"/>
      <c r="T59" s="200"/>
      <c r="U59" s="207"/>
      <c r="V59" s="200"/>
      <c r="W59" s="204"/>
      <c r="X59" s="200"/>
      <c r="Y59" s="200"/>
      <c r="Z59" s="200"/>
      <c r="AA59" s="200"/>
      <c r="AB59" s="200"/>
      <c r="AC59" s="204"/>
      <c r="AD59" s="200"/>
      <c r="AE59" s="200"/>
      <c r="AF59" s="200"/>
      <c r="AG59" s="200"/>
      <c r="AH59" s="204"/>
      <c r="AI59" s="201"/>
      <c r="AJ59" s="173"/>
    </row>
    <row r="60" spans="1:36">
      <c r="A60" s="203" t="s">
        <v>198</v>
      </c>
      <c r="B60" s="204"/>
      <c r="C60" s="205"/>
      <c r="D60" s="200"/>
      <c r="E60" s="205"/>
      <c r="F60" s="200"/>
      <c r="G60" s="200">
        <v>6073063</v>
      </c>
      <c r="H60" s="204"/>
      <c r="I60" s="200"/>
      <c r="J60" s="200"/>
      <c r="K60" s="200"/>
      <c r="L60" s="200"/>
      <c r="M60" s="200">
        <v>32202585</v>
      </c>
      <c r="N60" s="200"/>
      <c r="O60" s="205"/>
      <c r="P60" s="200"/>
      <c r="Q60" s="200"/>
      <c r="R60" s="200"/>
      <c r="S60" s="200"/>
      <c r="T60" s="200"/>
      <c r="U60" s="207"/>
      <c r="V60" s="200"/>
      <c r="W60" s="204"/>
      <c r="X60" s="200"/>
      <c r="Y60" s="200"/>
      <c r="Z60" s="200"/>
      <c r="AA60" s="200"/>
      <c r="AB60" s="200"/>
      <c r="AC60" s="200"/>
      <c r="AD60" s="200"/>
      <c r="AE60" s="204"/>
      <c r="AF60" s="200"/>
      <c r="AG60" s="200">
        <v>5235098</v>
      </c>
      <c r="AH60" s="204"/>
      <c r="AI60" s="201">
        <f t="shared" si="1"/>
        <v>43510746</v>
      </c>
      <c r="AJ60" s="173"/>
    </row>
    <row r="61" spans="1:36">
      <c r="A61" s="203" t="s">
        <v>227</v>
      </c>
      <c r="B61" s="204"/>
      <c r="C61" s="205"/>
      <c r="D61" s="200"/>
      <c r="E61" s="205"/>
      <c r="F61" s="200"/>
      <c r="G61" s="200">
        <v>3912639567</v>
      </c>
      <c r="H61" s="200"/>
      <c r="I61" s="200"/>
      <c r="J61" s="200"/>
      <c r="K61" s="200"/>
      <c r="L61" s="200"/>
      <c r="M61" s="200"/>
      <c r="N61" s="200">
        <v>4296619000</v>
      </c>
      <c r="O61" s="205">
        <v>2910017045</v>
      </c>
      <c r="P61" s="200">
        <v>2166057981</v>
      </c>
      <c r="Q61" s="200"/>
      <c r="R61" s="200"/>
      <c r="S61" s="200"/>
      <c r="T61" s="200">
        <v>1713440499</v>
      </c>
      <c r="U61" s="207"/>
      <c r="V61" s="200">
        <v>2075257183</v>
      </c>
      <c r="W61" s="200"/>
      <c r="X61" s="200"/>
      <c r="Y61" s="200"/>
      <c r="Z61" s="200">
        <v>3987154343</v>
      </c>
      <c r="AA61" s="200"/>
      <c r="AB61" s="200"/>
      <c r="AC61" s="200"/>
      <c r="AD61" s="200"/>
      <c r="AE61" s="207"/>
      <c r="AF61" s="200"/>
      <c r="AG61" s="200">
        <v>2585155973</v>
      </c>
      <c r="AH61" s="204"/>
      <c r="AI61" s="201">
        <f t="shared" si="1"/>
        <v>23646341591</v>
      </c>
      <c r="AJ61" s="173"/>
    </row>
    <row r="62" spans="1:36">
      <c r="A62" s="203" t="s">
        <v>227</v>
      </c>
      <c r="B62" s="204"/>
      <c r="C62" s="205"/>
      <c r="D62" s="200"/>
      <c r="E62" s="205"/>
      <c r="F62" s="200"/>
      <c r="G62" s="200"/>
      <c r="H62" s="200"/>
      <c r="I62" s="200"/>
      <c r="J62" s="200"/>
      <c r="K62" s="200"/>
      <c r="L62" s="200"/>
      <c r="M62" s="200"/>
      <c r="N62" s="200"/>
      <c r="O62" s="205"/>
      <c r="P62" s="200"/>
      <c r="Q62" s="200"/>
      <c r="R62" s="200"/>
      <c r="S62" s="200"/>
      <c r="T62" s="200"/>
      <c r="U62" s="207"/>
      <c r="V62" s="204"/>
      <c r="W62" s="200"/>
      <c r="X62" s="200"/>
      <c r="Y62" s="200"/>
      <c r="Z62" s="200"/>
      <c r="AA62" s="200"/>
      <c r="AB62" s="200"/>
      <c r="AC62" s="200"/>
      <c r="AD62" s="204"/>
      <c r="AE62" s="204"/>
      <c r="AF62" s="200"/>
      <c r="AG62" s="200">
        <v>2657567490</v>
      </c>
      <c r="AH62" s="204"/>
      <c r="AI62" s="201">
        <f t="shared" si="1"/>
        <v>2657567490</v>
      </c>
      <c r="AJ62" s="173"/>
    </row>
    <row r="63" spans="1:36">
      <c r="A63" s="203" t="s">
        <v>227</v>
      </c>
      <c r="B63" s="204"/>
      <c r="C63" s="205"/>
      <c r="D63" s="200"/>
      <c r="E63" s="205"/>
      <c r="F63" s="200"/>
      <c r="G63" s="200"/>
      <c r="H63" s="200"/>
      <c r="I63" s="200"/>
      <c r="J63" s="200"/>
      <c r="K63" s="200"/>
      <c r="L63" s="200"/>
      <c r="M63" s="200"/>
      <c r="N63" s="200"/>
      <c r="O63" s="205"/>
      <c r="P63" s="200"/>
      <c r="Q63" s="200"/>
      <c r="R63" s="200"/>
      <c r="S63" s="200"/>
      <c r="T63" s="200"/>
      <c r="U63" s="207"/>
      <c r="V63" s="204"/>
      <c r="W63" s="200"/>
      <c r="X63" s="200"/>
      <c r="Y63" s="200"/>
      <c r="Z63" s="200"/>
      <c r="AA63" s="200"/>
      <c r="AB63" s="200"/>
      <c r="AC63" s="200"/>
      <c r="AD63" s="204"/>
      <c r="AE63" s="277"/>
      <c r="AF63" s="200"/>
      <c r="AG63" s="200">
        <v>1267351321</v>
      </c>
      <c r="AH63" s="204"/>
      <c r="AI63" s="201">
        <f t="shared" si="1"/>
        <v>1267351321</v>
      </c>
      <c r="AJ63" s="173"/>
    </row>
    <row r="64" spans="1:36">
      <c r="A64" s="203" t="s">
        <v>227</v>
      </c>
      <c r="B64" s="204"/>
      <c r="C64" s="205"/>
      <c r="D64" s="200"/>
      <c r="E64" s="205"/>
      <c r="F64" s="200"/>
      <c r="G64" s="200"/>
      <c r="H64" s="200"/>
      <c r="I64" s="200"/>
      <c r="J64" s="200"/>
      <c r="K64" s="200"/>
      <c r="L64" s="200"/>
      <c r="M64" s="200"/>
      <c r="N64" s="200"/>
      <c r="O64" s="205"/>
      <c r="P64" s="200"/>
      <c r="Q64" s="200"/>
      <c r="R64" s="200"/>
      <c r="S64" s="200"/>
      <c r="T64" s="200"/>
      <c r="U64" s="207"/>
      <c r="V64" s="204"/>
      <c r="W64" s="200"/>
      <c r="X64" s="200"/>
      <c r="Y64" s="200"/>
      <c r="Z64" s="200"/>
      <c r="AA64" s="200"/>
      <c r="AB64" s="200"/>
      <c r="AC64" s="200"/>
      <c r="AD64" s="204"/>
      <c r="AE64" s="277"/>
      <c r="AF64" s="200"/>
      <c r="AG64" s="200">
        <v>4365208650</v>
      </c>
      <c r="AH64" s="204"/>
      <c r="AI64" s="201">
        <f t="shared" si="1"/>
        <v>4365208650</v>
      </c>
      <c r="AJ64" s="173"/>
    </row>
    <row r="65" spans="1:38">
      <c r="A65" s="203" t="s">
        <v>199</v>
      </c>
      <c r="B65" s="204"/>
      <c r="C65" s="208"/>
      <c r="D65" s="164"/>
      <c r="E65" s="205"/>
      <c r="F65" s="200"/>
      <c r="G65" s="200">
        <v>25470804</v>
      </c>
      <c r="H65" s="164"/>
      <c r="I65" s="200"/>
      <c r="J65" s="164"/>
      <c r="K65" s="164"/>
      <c r="L65" s="200"/>
      <c r="M65" s="200"/>
      <c r="N65" s="200">
        <v>32210972</v>
      </c>
      <c r="O65" s="205">
        <v>20648479</v>
      </c>
      <c r="P65" s="200">
        <v>14043443</v>
      </c>
      <c r="Q65" s="176"/>
      <c r="R65" s="200"/>
      <c r="S65" s="200"/>
      <c r="T65" s="205">
        <v>10927943</v>
      </c>
      <c r="U65" s="207"/>
      <c r="V65" s="200">
        <v>12761386</v>
      </c>
      <c r="W65" s="200"/>
      <c r="X65" s="200"/>
      <c r="Y65" s="200"/>
      <c r="Z65" s="200">
        <v>25180340</v>
      </c>
      <c r="AA65" s="200"/>
      <c r="AB65" s="164"/>
      <c r="AC65" s="200"/>
      <c r="AD65" s="180"/>
      <c r="AE65" s="207"/>
      <c r="AF65" s="205"/>
      <c r="AG65" s="200">
        <v>74959574</v>
      </c>
      <c r="AH65" s="204"/>
      <c r="AI65" s="201">
        <f t="shared" si="1"/>
        <v>216202941</v>
      </c>
      <c r="AJ65" s="173"/>
      <c r="AL65" s="150" t="s">
        <v>253</v>
      </c>
    </row>
    <row r="66" spans="1:38">
      <c r="A66" s="203" t="s">
        <v>228</v>
      </c>
      <c r="B66" s="204"/>
      <c r="C66" s="205"/>
      <c r="D66" s="205"/>
      <c r="E66" s="205"/>
      <c r="F66" s="200"/>
      <c r="G66" s="200"/>
      <c r="H66" s="200"/>
      <c r="I66" s="200"/>
      <c r="J66" s="200"/>
      <c r="K66" s="200"/>
      <c r="L66" s="210"/>
      <c r="M66" s="200">
        <v>282393029</v>
      </c>
      <c r="N66" s="200"/>
      <c r="O66" s="205"/>
      <c r="P66" s="205"/>
      <c r="Q66" s="200"/>
      <c r="R66" s="200"/>
      <c r="S66" s="200"/>
      <c r="T66" s="205"/>
      <c r="U66" s="209"/>
      <c r="V66" s="204"/>
      <c r="W66" s="200"/>
      <c r="X66" s="200"/>
      <c r="Y66" s="176"/>
      <c r="Z66" s="200"/>
      <c r="AA66" s="200"/>
      <c r="AB66" s="200"/>
      <c r="AC66" s="200"/>
      <c r="AD66" s="204"/>
      <c r="AE66" s="200"/>
      <c r="AF66" s="205"/>
      <c r="AG66" s="200"/>
      <c r="AH66" s="204"/>
      <c r="AI66" s="201">
        <f t="shared" si="1"/>
        <v>282393029</v>
      </c>
      <c r="AJ66" s="173"/>
    </row>
    <row r="67" spans="1:38">
      <c r="A67" s="203" t="s">
        <v>200</v>
      </c>
      <c r="B67" s="204"/>
      <c r="C67" s="205"/>
      <c r="D67" s="205"/>
      <c r="E67" s="205"/>
      <c r="F67" s="200"/>
      <c r="G67" s="200"/>
      <c r="H67" s="200"/>
      <c r="I67" s="200"/>
      <c r="J67" s="200"/>
      <c r="K67" s="200"/>
      <c r="L67" s="210"/>
      <c r="M67" s="200">
        <v>2000284</v>
      </c>
      <c r="N67" s="200"/>
      <c r="O67" s="205"/>
      <c r="P67" s="205"/>
      <c r="Q67" s="200"/>
      <c r="R67" s="200"/>
      <c r="S67" s="200"/>
      <c r="T67" s="205"/>
      <c r="U67" s="205"/>
      <c r="V67" s="204"/>
      <c r="W67" s="200"/>
      <c r="X67" s="200"/>
      <c r="Y67" s="176"/>
      <c r="Z67" s="200"/>
      <c r="AA67" s="200"/>
      <c r="AB67" s="200"/>
      <c r="AC67" s="200"/>
      <c r="AD67" s="204"/>
      <c r="AE67" s="200"/>
      <c r="AF67" s="205"/>
      <c r="AG67" s="200"/>
      <c r="AH67" s="204"/>
      <c r="AI67" s="201">
        <f t="shared" si="1"/>
        <v>2000284</v>
      </c>
      <c r="AJ67" s="173"/>
    </row>
    <row r="68" spans="1:38">
      <c r="A68" s="203" t="s">
        <v>36</v>
      </c>
      <c r="B68" s="204"/>
      <c r="C68" s="205"/>
      <c r="D68" s="205"/>
      <c r="E68" s="205"/>
      <c r="F68" s="200"/>
      <c r="G68" s="200"/>
      <c r="H68" s="204"/>
      <c r="I68" s="200"/>
      <c r="J68" s="200"/>
      <c r="K68" s="200"/>
      <c r="L68" s="210"/>
      <c r="M68" s="200"/>
      <c r="N68" s="200"/>
      <c r="O68" s="205"/>
      <c r="P68" s="205"/>
      <c r="Q68" s="200"/>
      <c r="R68" s="200"/>
      <c r="S68" s="200"/>
      <c r="T68" s="205">
        <v>4488989910</v>
      </c>
      <c r="U68" s="205"/>
      <c r="V68" s="204"/>
      <c r="W68" s="200"/>
      <c r="X68" s="200"/>
      <c r="Y68" s="176"/>
      <c r="Z68" s="200"/>
      <c r="AA68" s="200"/>
      <c r="AB68" s="200"/>
      <c r="AC68" s="200"/>
      <c r="AD68" s="204"/>
      <c r="AE68" s="200"/>
      <c r="AF68" s="205"/>
      <c r="AG68" s="200">
        <v>1415414360</v>
      </c>
      <c r="AH68" s="204"/>
      <c r="AI68" s="201">
        <f t="shared" si="1"/>
        <v>5904404270</v>
      </c>
      <c r="AJ68" s="173"/>
    </row>
    <row r="69" spans="1:38">
      <c r="A69" s="203" t="s">
        <v>36</v>
      </c>
      <c r="B69" s="204"/>
      <c r="C69" s="205"/>
      <c r="D69" s="205"/>
      <c r="E69" s="205"/>
      <c r="F69" s="200"/>
      <c r="G69" s="200"/>
      <c r="H69" s="204"/>
      <c r="I69" s="200"/>
      <c r="J69" s="200"/>
      <c r="K69" s="200"/>
      <c r="L69" s="210"/>
      <c r="M69" s="200"/>
      <c r="N69" s="200"/>
      <c r="O69" s="205"/>
      <c r="P69" s="205"/>
      <c r="Q69" s="200"/>
      <c r="R69" s="200"/>
      <c r="S69" s="200"/>
      <c r="T69" s="205"/>
      <c r="U69" s="205"/>
      <c r="V69" s="204"/>
      <c r="W69" s="200"/>
      <c r="X69" s="200"/>
      <c r="Y69" s="176"/>
      <c r="Z69" s="200"/>
      <c r="AA69" s="200"/>
      <c r="AB69" s="200"/>
      <c r="AC69" s="200"/>
      <c r="AD69" s="204"/>
      <c r="AE69" s="200"/>
      <c r="AF69" s="205"/>
      <c r="AG69" s="200"/>
      <c r="AH69" s="204"/>
      <c r="AI69" s="201"/>
      <c r="AJ69" s="173"/>
    </row>
    <row r="70" spans="1:38">
      <c r="A70" s="203" t="s">
        <v>36</v>
      </c>
      <c r="B70" s="204"/>
      <c r="C70" s="205"/>
      <c r="D70" s="205"/>
      <c r="E70" s="205"/>
      <c r="F70" s="200"/>
      <c r="G70" s="200"/>
      <c r="H70" s="204"/>
      <c r="I70" s="200"/>
      <c r="J70" s="200"/>
      <c r="K70" s="200"/>
      <c r="L70" s="210"/>
      <c r="M70" s="200"/>
      <c r="N70" s="200"/>
      <c r="O70" s="205"/>
      <c r="P70" s="205"/>
      <c r="Q70" s="200"/>
      <c r="R70" s="200"/>
      <c r="S70" s="200"/>
      <c r="T70" s="205"/>
      <c r="U70" s="205"/>
      <c r="V70" s="204"/>
      <c r="W70" s="200"/>
      <c r="X70" s="200"/>
      <c r="Y70" s="176"/>
      <c r="Z70" s="200"/>
      <c r="AA70" s="200"/>
      <c r="AB70" s="200"/>
      <c r="AC70" s="200"/>
      <c r="AD70" s="204"/>
      <c r="AE70" s="200"/>
      <c r="AF70" s="205"/>
      <c r="AG70" s="200"/>
      <c r="AH70" s="204"/>
      <c r="AI70" s="201"/>
      <c r="AJ70" s="173"/>
    </row>
    <row r="71" spans="1:38">
      <c r="A71" s="203" t="s">
        <v>242</v>
      </c>
      <c r="B71" s="204"/>
      <c r="C71" s="205"/>
      <c r="D71" s="205"/>
      <c r="E71" s="205"/>
      <c r="F71" s="200"/>
      <c r="G71" s="200"/>
      <c r="H71" s="204"/>
      <c r="I71" s="200"/>
      <c r="J71" s="200"/>
      <c r="K71" s="200"/>
      <c r="L71" s="210"/>
      <c r="M71" s="200"/>
      <c r="N71" s="200"/>
      <c r="O71" s="205"/>
      <c r="P71" s="205"/>
      <c r="Q71" s="200"/>
      <c r="R71" s="200"/>
      <c r="S71" s="200"/>
      <c r="T71" s="205">
        <v>29677211</v>
      </c>
      <c r="U71" s="205"/>
      <c r="V71" s="204"/>
      <c r="W71" s="200"/>
      <c r="X71" s="200"/>
      <c r="Y71" s="176"/>
      <c r="Z71" s="200"/>
      <c r="AA71" s="200"/>
      <c r="AB71" s="200"/>
      <c r="AC71" s="204"/>
      <c r="AD71" s="204"/>
      <c r="AE71" s="200"/>
      <c r="AF71" s="205"/>
      <c r="AG71" s="200">
        <v>9023267</v>
      </c>
      <c r="AH71" s="204"/>
      <c r="AI71" s="201">
        <f t="shared" si="1"/>
        <v>38700478</v>
      </c>
      <c r="AJ71" s="173"/>
    </row>
    <row r="72" spans="1:38">
      <c r="A72" s="162" t="s">
        <v>53</v>
      </c>
      <c r="B72" s="204"/>
      <c r="C72" s="205"/>
      <c r="D72" s="180"/>
      <c r="E72" s="205"/>
      <c r="F72" s="200"/>
      <c r="G72" s="200"/>
      <c r="H72" s="200"/>
      <c r="I72" s="200"/>
      <c r="J72" s="200"/>
      <c r="K72" s="200"/>
      <c r="L72" s="210"/>
      <c r="M72" s="200"/>
      <c r="N72" s="180"/>
      <c r="O72" s="180"/>
      <c r="P72" s="180"/>
      <c r="Q72" s="200"/>
      <c r="R72" s="200"/>
      <c r="T72" s="205"/>
      <c r="U72" s="176"/>
      <c r="V72" s="169"/>
      <c r="W72" s="200"/>
      <c r="X72" s="176"/>
      <c r="Y72" s="200"/>
      <c r="Z72" s="200"/>
      <c r="AA72" s="200"/>
      <c r="AB72" s="164"/>
      <c r="AC72" s="200"/>
      <c r="AD72" s="200"/>
      <c r="AE72" s="200"/>
      <c r="AF72" s="205"/>
      <c r="AG72" s="200"/>
      <c r="AH72" s="200"/>
      <c r="AI72" s="201">
        <f t="shared" si="1"/>
        <v>0</v>
      </c>
      <c r="AJ72" s="173"/>
    </row>
    <row r="73" spans="1:38">
      <c r="A73" s="162" t="s">
        <v>54</v>
      </c>
      <c r="B73" s="204"/>
      <c r="C73" s="205"/>
      <c r="D73" s="205"/>
      <c r="E73" s="180"/>
      <c r="F73" s="200"/>
      <c r="G73" s="200"/>
      <c r="H73" s="200"/>
      <c r="I73" s="200"/>
      <c r="J73" s="200"/>
      <c r="K73" s="200"/>
      <c r="L73" s="267"/>
      <c r="M73" s="200"/>
      <c r="N73" s="200"/>
      <c r="O73" s="205"/>
      <c r="P73" s="180"/>
      <c r="Q73" s="200"/>
      <c r="R73" s="200"/>
      <c r="S73" s="200"/>
      <c r="T73" s="205"/>
      <c r="U73" s="205"/>
      <c r="V73" s="169"/>
      <c r="W73" s="180"/>
      <c r="X73" s="169"/>
      <c r="Y73" s="200"/>
      <c r="Z73" s="180"/>
      <c r="AA73" s="200"/>
      <c r="AB73" s="200"/>
      <c r="AC73" s="204"/>
      <c r="AD73" s="200"/>
      <c r="AE73" s="200"/>
      <c r="AF73" s="205"/>
      <c r="AG73" s="200"/>
      <c r="AH73" s="204"/>
      <c r="AI73" s="201">
        <f t="shared" si="1"/>
        <v>0</v>
      </c>
      <c r="AJ73" s="173">
        <v>1</v>
      </c>
    </row>
    <row r="74" spans="1:38">
      <c r="A74" s="162" t="s">
        <v>203</v>
      </c>
      <c r="B74" s="204"/>
      <c r="C74" s="205"/>
      <c r="D74" s="205"/>
      <c r="E74" s="180">
        <v>140646841</v>
      </c>
      <c r="F74" s="200"/>
      <c r="G74" s="200"/>
      <c r="H74" s="204"/>
      <c r="I74" s="205"/>
      <c r="J74" s="200"/>
      <c r="K74" s="200"/>
      <c r="L74" s="267"/>
      <c r="M74" s="200"/>
      <c r="N74" s="200"/>
      <c r="O74" s="205"/>
      <c r="P74" s="180"/>
      <c r="Q74" s="200"/>
      <c r="R74" s="200"/>
      <c r="S74" s="200"/>
      <c r="T74" s="205"/>
      <c r="U74" s="205"/>
      <c r="V74" s="176"/>
      <c r="W74" s="180"/>
      <c r="X74" s="169"/>
      <c r="Y74" s="200"/>
      <c r="Z74" s="180"/>
      <c r="AA74" s="200"/>
      <c r="AB74" s="200"/>
      <c r="AC74" s="204"/>
      <c r="AD74" s="200"/>
      <c r="AE74" s="205"/>
      <c r="AF74" s="205"/>
      <c r="AG74" s="200"/>
      <c r="AH74" s="204"/>
      <c r="AI74" s="201">
        <f t="shared" si="1"/>
        <v>140646841</v>
      </c>
      <c r="AJ74" s="173"/>
    </row>
    <row r="75" spans="1:38">
      <c r="A75" s="162" t="s">
        <v>37</v>
      </c>
      <c r="B75" s="204"/>
      <c r="C75" s="180"/>
      <c r="D75" s="200"/>
      <c r="E75" s="180"/>
      <c r="F75" s="164"/>
      <c r="G75" s="180"/>
      <c r="H75" s="200"/>
      <c r="I75" s="180"/>
      <c r="J75" s="200"/>
      <c r="K75" s="200"/>
      <c r="L75" s="267"/>
      <c r="M75" s="200"/>
      <c r="N75" s="200">
        <v>2078712567</v>
      </c>
      <c r="O75" s="205">
        <v>1072273951</v>
      </c>
      <c r="P75" s="176">
        <v>1145868554</v>
      </c>
      <c r="Q75" s="200"/>
      <c r="R75" s="200"/>
      <c r="S75" s="200">
        <v>883437017</v>
      </c>
      <c r="T75" s="205">
        <v>112540482</v>
      </c>
      <c r="U75" s="176"/>
      <c r="V75" s="176"/>
      <c r="W75" s="200"/>
      <c r="X75" s="176"/>
      <c r="Y75" s="178"/>
      <c r="Z75" s="200">
        <v>30000</v>
      </c>
      <c r="AA75" s="176">
        <v>2585678819</v>
      </c>
      <c r="AB75" s="178"/>
      <c r="AC75" s="178"/>
      <c r="AD75" s="200">
        <v>3848335348</v>
      </c>
      <c r="AE75" s="178"/>
      <c r="AF75" s="178"/>
      <c r="AG75" s="200"/>
      <c r="AH75" s="200"/>
      <c r="AI75" s="201">
        <f t="shared" si="1"/>
        <v>11726876738</v>
      </c>
      <c r="AJ75" s="173"/>
    </row>
    <row r="76" spans="1:38">
      <c r="A76" s="162" t="s">
        <v>38</v>
      </c>
      <c r="B76" s="204"/>
      <c r="C76" s="176"/>
      <c r="D76" s="176"/>
      <c r="E76" s="180"/>
      <c r="F76" s="200"/>
      <c r="G76" s="200"/>
      <c r="H76" s="200"/>
      <c r="I76" s="205"/>
      <c r="J76" s="200"/>
      <c r="K76" s="180"/>
      <c r="L76" s="267"/>
      <c r="M76" s="200"/>
      <c r="N76" s="180"/>
      <c r="O76" s="180"/>
      <c r="P76" s="205"/>
      <c r="Q76" s="174"/>
      <c r="R76" s="176"/>
      <c r="S76" s="200"/>
      <c r="T76" s="176"/>
      <c r="U76" s="205"/>
      <c r="V76" s="205"/>
      <c r="W76" s="180"/>
      <c r="X76" s="176"/>
      <c r="Y76" s="180"/>
      <c r="Z76" s="180"/>
      <c r="AA76" s="176">
        <v>2001980440</v>
      </c>
      <c r="AB76" s="172"/>
      <c r="AC76" s="200"/>
      <c r="AD76" s="200"/>
      <c r="AE76" s="205"/>
      <c r="AF76" s="176"/>
      <c r="AG76" s="169"/>
      <c r="AH76" s="169"/>
      <c r="AI76" s="201">
        <f t="shared" si="1"/>
        <v>2001980440</v>
      </c>
      <c r="AJ76" s="173"/>
    </row>
    <row r="77" spans="1:38">
      <c r="A77" s="162" t="s">
        <v>414</v>
      </c>
      <c r="B77" s="204"/>
      <c r="C77" s="176"/>
      <c r="D77" s="176"/>
      <c r="E77" s="180"/>
      <c r="F77" s="200"/>
      <c r="G77" s="200"/>
      <c r="H77" s="200"/>
      <c r="I77" s="205"/>
      <c r="J77" s="200"/>
      <c r="K77" s="180"/>
      <c r="L77" s="267"/>
      <c r="M77" s="200"/>
      <c r="N77" s="180"/>
      <c r="O77" s="180"/>
      <c r="P77" s="205"/>
      <c r="Q77" s="174"/>
      <c r="R77" s="176"/>
      <c r="S77" s="200"/>
      <c r="T77" s="176"/>
      <c r="U77" s="205"/>
      <c r="V77" s="205"/>
      <c r="W77" s="180"/>
      <c r="X77" s="176"/>
      <c r="Y77" s="180"/>
      <c r="Z77" s="180"/>
      <c r="AA77" s="176">
        <v>3160091448</v>
      </c>
      <c r="AB77" s="172"/>
      <c r="AC77" s="200"/>
      <c r="AD77" s="200"/>
      <c r="AE77" s="205"/>
      <c r="AF77" s="176"/>
      <c r="AG77" s="169"/>
      <c r="AH77" s="169"/>
      <c r="AI77" s="201"/>
      <c r="AJ77" s="173"/>
    </row>
    <row r="78" spans="1:38">
      <c r="A78" s="162" t="s">
        <v>536</v>
      </c>
      <c r="B78" s="204"/>
      <c r="C78" s="176"/>
      <c r="D78" s="169"/>
      <c r="E78" s="180">
        <v>89668307</v>
      </c>
      <c r="F78" s="200"/>
      <c r="G78" s="200"/>
      <c r="H78" s="204"/>
      <c r="I78" s="205"/>
      <c r="J78" s="200"/>
      <c r="K78" s="180"/>
      <c r="L78" s="205"/>
      <c r="M78" s="200"/>
      <c r="N78" s="174"/>
      <c r="O78" s="180"/>
      <c r="P78" s="205"/>
      <c r="Q78" s="174"/>
      <c r="R78" s="176"/>
      <c r="S78" s="200"/>
      <c r="T78" s="176"/>
      <c r="U78" s="205"/>
      <c r="V78" s="205"/>
      <c r="W78" s="180"/>
      <c r="X78" s="176"/>
      <c r="Y78" s="180"/>
      <c r="Z78" s="180"/>
      <c r="AA78" s="176">
        <v>3029811646</v>
      </c>
      <c r="AB78" s="172"/>
      <c r="AC78" s="200"/>
      <c r="AD78" s="200"/>
      <c r="AE78" s="205"/>
      <c r="AF78" s="176"/>
      <c r="AG78" s="169"/>
      <c r="AH78" s="169"/>
      <c r="AI78" s="201">
        <f t="shared" si="1"/>
        <v>3119479953</v>
      </c>
      <c r="AJ78" s="173"/>
    </row>
    <row r="79" spans="1:38">
      <c r="A79" s="162" t="s">
        <v>175</v>
      </c>
      <c r="B79" s="204"/>
      <c r="C79" s="193"/>
      <c r="D79" s="200"/>
      <c r="E79" s="180">
        <v>2865371212</v>
      </c>
      <c r="F79" s="200">
        <v>1958085553</v>
      </c>
      <c r="G79" s="200">
        <v>2941161888</v>
      </c>
      <c r="H79" s="200"/>
      <c r="I79" s="205">
        <v>4115574576</v>
      </c>
      <c r="J79" s="180"/>
      <c r="K79" s="200"/>
      <c r="L79" s="176">
        <v>2645232868</v>
      </c>
      <c r="M79" s="200"/>
      <c r="N79" s="180"/>
      <c r="O79" s="180">
        <v>1522520042</v>
      </c>
      <c r="P79" s="154">
        <v>1123645962</v>
      </c>
      <c r="Q79" s="205"/>
      <c r="R79" s="176"/>
      <c r="S79" s="200"/>
      <c r="T79" s="200"/>
      <c r="U79" s="200"/>
      <c r="V79" s="200"/>
      <c r="W79" s="180"/>
      <c r="X79" s="176"/>
      <c r="Y79" s="180"/>
      <c r="Z79" s="180">
        <v>30000</v>
      </c>
      <c r="AA79" s="176"/>
      <c r="AB79" s="172"/>
      <c r="AC79" s="200"/>
      <c r="AD79" s="200"/>
      <c r="AE79" s="176"/>
      <c r="AF79" s="176"/>
      <c r="AG79" s="176"/>
      <c r="AH79" s="169"/>
      <c r="AI79" s="201">
        <f t="shared" si="1"/>
        <v>17171622101</v>
      </c>
      <c r="AJ79" s="173"/>
    </row>
    <row r="80" spans="1:38">
      <c r="A80" s="162" t="s">
        <v>176</v>
      </c>
      <c r="B80" s="204"/>
      <c r="C80" s="205"/>
      <c r="D80" s="200"/>
      <c r="E80" s="180"/>
      <c r="F80" s="200">
        <v>4178863006</v>
      </c>
      <c r="G80" s="200"/>
      <c r="H80" s="200"/>
      <c r="I80" s="205"/>
      <c r="J80" s="180"/>
      <c r="K80" s="180"/>
      <c r="L80" s="205"/>
      <c r="M80" s="200"/>
      <c r="N80" s="200"/>
      <c r="O80" s="180"/>
      <c r="P80" s="205"/>
      <c r="Q80" s="200"/>
      <c r="R80" s="207"/>
      <c r="S80" s="200"/>
      <c r="T80" s="180"/>
      <c r="U80" s="176"/>
      <c r="V80" s="176"/>
      <c r="W80" s="200"/>
      <c r="X80" s="176"/>
      <c r="Y80" s="180"/>
      <c r="Z80" s="205"/>
      <c r="AA80" s="200"/>
      <c r="AB80" s="172"/>
      <c r="AC80" s="200"/>
      <c r="AD80" s="200"/>
      <c r="AE80" s="205"/>
      <c r="AF80" s="176"/>
      <c r="AG80" s="200"/>
      <c r="AH80" s="200"/>
      <c r="AI80" s="201">
        <f t="shared" si="1"/>
        <v>4178863006</v>
      </c>
      <c r="AJ80" s="173"/>
    </row>
    <row r="81" spans="1:36">
      <c r="A81" s="162" t="s">
        <v>409</v>
      </c>
      <c r="B81" s="204"/>
      <c r="C81" s="205"/>
      <c r="D81" s="200"/>
      <c r="E81" s="180"/>
      <c r="F81" s="200"/>
      <c r="G81" s="200"/>
      <c r="H81" s="200"/>
      <c r="I81" s="205"/>
      <c r="J81" s="180"/>
      <c r="K81" s="180"/>
      <c r="L81" s="205"/>
      <c r="M81" s="200"/>
      <c r="N81" s="200"/>
      <c r="O81" s="180"/>
      <c r="P81" s="205"/>
      <c r="Q81" s="200"/>
      <c r="R81" s="207"/>
      <c r="S81" s="200"/>
      <c r="T81" s="180"/>
      <c r="U81" s="176"/>
      <c r="V81" s="176"/>
      <c r="W81" s="200"/>
      <c r="X81" s="176"/>
      <c r="Y81" s="176"/>
      <c r="Z81" s="176"/>
      <c r="AA81" s="176"/>
      <c r="AB81" s="172"/>
      <c r="AC81" s="200"/>
      <c r="AD81" s="200"/>
      <c r="AE81" s="209"/>
      <c r="AF81" s="176"/>
      <c r="AG81" s="200"/>
      <c r="AH81" s="200"/>
      <c r="AI81" s="201"/>
      <c r="AJ81" s="173"/>
    </row>
    <row r="82" spans="1:36">
      <c r="A82" s="162" t="s">
        <v>202</v>
      </c>
      <c r="B82" s="204"/>
      <c r="C82" s="205"/>
      <c r="D82" s="200"/>
      <c r="E82" s="180"/>
      <c r="F82" s="200"/>
      <c r="G82" s="200"/>
      <c r="H82" s="200"/>
      <c r="I82" s="205"/>
      <c r="J82" s="180"/>
      <c r="K82" s="180"/>
      <c r="L82" s="205"/>
      <c r="M82" s="200"/>
      <c r="N82" s="200"/>
      <c r="O82" s="180"/>
      <c r="P82" s="205"/>
      <c r="Q82" s="200"/>
      <c r="R82" s="207"/>
      <c r="S82" s="200"/>
      <c r="T82" s="180"/>
      <c r="U82" s="176"/>
      <c r="V82" s="200"/>
      <c r="W82" s="200"/>
      <c r="X82" s="176"/>
      <c r="Y82" s="180"/>
      <c r="Z82" s="200"/>
      <c r="AA82" s="200"/>
      <c r="AB82" s="172"/>
      <c r="AC82" s="200"/>
      <c r="AD82" s="200"/>
      <c r="AE82" s="207"/>
      <c r="AF82" s="176"/>
      <c r="AG82" s="200"/>
      <c r="AH82" s="200"/>
      <c r="AI82" s="201">
        <f t="shared" si="1"/>
        <v>0</v>
      </c>
      <c r="AJ82" s="173"/>
    </row>
    <row r="83" spans="1:36">
      <c r="A83" s="211" t="s">
        <v>41</v>
      </c>
      <c r="B83" s="212"/>
      <c r="C83" s="213">
        <f>SUM(C58:C82)</f>
        <v>0</v>
      </c>
      <c r="D83" s="213">
        <f t="shared" ref="D83:AI83" si="2">SUM(D58:D82)</f>
        <v>0</v>
      </c>
      <c r="E83" s="213">
        <f t="shared" si="2"/>
        <v>3095686360</v>
      </c>
      <c r="F83" s="213">
        <f t="shared" si="2"/>
        <v>6136948559</v>
      </c>
      <c r="G83" s="213">
        <f t="shared" si="2"/>
        <v>7866850506</v>
      </c>
      <c r="H83" s="213">
        <f t="shared" si="2"/>
        <v>0</v>
      </c>
      <c r="I83" s="213">
        <f t="shared" si="2"/>
        <v>4115574576</v>
      </c>
      <c r="J83" s="213">
        <f t="shared" si="2"/>
        <v>0</v>
      </c>
      <c r="K83" s="213">
        <f t="shared" si="2"/>
        <v>0</v>
      </c>
      <c r="L83" s="213">
        <f t="shared" si="2"/>
        <v>2645232868</v>
      </c>
      <c r="M83" s="213">
        <f t="shared" si="2"/>
        <v>7417936665</v>
      </c>
      <c r="N83" s="213">
        <f>SUM(N58:N82)</f>
        <v>6407542539</v>
      </c>
      <c r="O83" s="213">
        <f t="shared" si="2"/>
        <v>5525459517</v>
      </c>
      <c r="P83" s="213">
        <f t="shared" si="2"/>
        <v>4449615940</v>
      </c>
      <c r="Q83" s="213">
        <f t="shared" si="2"/>
        <v>0</v>
      </c>
      <c r="R83" s="213">
        <f t="shared" si="2"/>
        <v>0</v>
      </c>
      <c r="S83" s="213">
        <f t="shared" si="2"/>
        <v>883437017</v>
      </c>
      <c r="T83" s="213">
        <f t="shared" si="2"/>
        <v>6355576045</v>
      </c>
      <c r="U83" s="213">
        <f t="shared" si="2"/>
        <v>0</v>
      </c>
      <c r="V83" s="213">
        <f t="shared" si="2"/>
        <v>2088018569</v>
      </c>
      <c r="W83" s="213">
        <f>SUM(W58:W82)</f>
        <v>0</v>
      </c>
      <c r="X83" s="213">
        <f>SUM(X58:X82)</f>
        <v>0</v>
      </c>
      <c r="Y83" s="213">
        <f t="shared" si="2"/>
        <v>0</v>
      </c>
      <c r="Z83" s="213">
        <f t="shared" si="2"/>
        <v>4012394683</v>
      </c>
      <c r="AA83" s="213">
        <f t="shared" si="2"/>
        <v>10777562353</v>
      </c>
      <c r="AB83" s="213">
        <f t="shared" si="2"/>
        <v>0</v>
      </c>
      <c r="AC83" s="213">
        <f t="shared" si="2"/>
        <v>0</v>
      </c>
      <c r="AD83" s="213">
        <f t="shared" si="2"/>
        <v>3848335348</v>
      </c>
      <c r="AE83" s="213">
        <f t="shared" si="2"/>
        <v>0</v>
      </c>
      <c r="AF83" s="213">
        <f t="shared" si="2"/>
        <v>0</v>
      </c>
      <c r="AG83" s="213">
        <f t="shared" si="2"/>
        <v>13109687373</v>
      </c>
      <c r="AH83" s="213">
        <f t="shared" si="2"/>
        <v>0</v>
      </c>
      <c r="AI83" s="213">
        <f t="shared" si="2"/>
        <v>81030799586</v>
      </c>
      <c r="AJ83" s="154"/>
    </row>
    <row r="84" spans="1:36">
      <c r="A84" s="393" t="s">
        <v>42</v>
      </c>
      <c r="B84" s="394"/>
      <c r="C84" s="215">
        <f t="shared" ref="C84:AG84" si="3">C55+C83</f>
        <v>0</v>
      </c>
      <c r="D84" s="215">
        <f>D55+D83</f>
        <v>0</v>
      </c>
      <c r="E84" s="216">
        <f t="shared" si="3"/>
        <v>3095686360</v>
      </c>
      <c r="F84" s="216">
        <f t="shared" si="3"/>
        <v>6136948559</v>
      </c>
      <c r="G84" s="216">
        <f t="shared" si="3"/>
        <v>7866850506</v>
      </c>
      <c r="H84" s="216">
        <f t="shared" si="3"/>
        <v>0</v>
      </c>
      <c r="I84" s="216">
        <f t="shared" si="3"/>
        <v>4115574576</v>
      </c>
      <c r="J84" s="215">
        <f t="shared" si="3"/>
        <v>0</v>
      </c>
      <c r="K84" s="215">
        <f t="shared" si="3"/>
        <v>0</v>
      </c>
      <c r="L84" s="216">
        <f t="shared" si="3"/>
        <v>2645232868</v>
      </c>
      <c r="M84" s="216">
        <f>M55+M83</f>
        <v>7417936665</v>
      </c>
      <c r="N84" s="216">
        <f t="shared" si="3"/>
        <v>6407542539</v>
      </c>
      <c r="O84" s="216">
        <f t="shared" si="3"/>
        <v>5525459517</v>
      </c>
      <c r="P84" s="216">
        <f t="shared" si="3"/>
        <v>4449615940</v>
      </c>
      <c r="Q84" s="216">
        <f t="shared" si="3"/>
        <v>0</v>
      </c>
      <c r="R84" s="216">
        <f t="shared" si="3"/>
        <v>0</v>
      </c>
      <c r="S84" s="216">
        <f t="shared" si="3"/>
        <v>883437017</v>
      </c>
      <c r="T84" s="216">
        <f t="shared" si="3"/>
        <v>6355576045</v>
      </c>
      <c r="U84" s="216">
        <f t="shared" si="3"/>
        <v>0</v>
      </c>
      <c r="V84" s="216">
        <f t="shared" si="3"/>
        <v>2088018569</v>
      </c>
      <c r="W84" s="216">
        <f t="shared" si="3"/>
        <v>0</v>
      </c>
      <c r="X84" s="216">
        <f t="shared" si="3"/>
        <v>0</v>
      </c>
      <c r="Y84" s="216">
        <f t="shared" si="3"/>
        <v>0</v>
      </c>
      <c r="Z84" s="216">
        <f t="shared" si="3"/>
        <v>4238235705</v>
      </c>
      <c r="AA84" s="216">
        <f t="shared" si="3"/>
        <v>11979627610</v>
      </c>
      <c r="AB84" s="216">
        <f t="shared" si="3"/>
        <v>99510000</v>
      </c>
      <c r="AC84" s="216">
        <f t="shared" si="3"/>
        <v>0</v>
      </c>
      <c r="AD84" s="216">
        <f t="shared" si="3"/>
        <v>4515405348</v>
      </c>
      <c r="AE84" s="216">
        <f t="shared" si="3"/>
        <v>5318638758</v>
      </c>
      <c r="AF84" s="216">
        <f t="shared" si="3"/>
        <v>0</v>
      </c>
      <c r="AG84" s="216">
        <f t="shared" si="3"/>
        <v>13159486699</v>
      </c>
      <c r="AH84" s="216"/>
      <c r="AI84" s="216">
        <f>SUM(C84:AG84)</f>
        <v>96298783281</v>
      </c>
    </row>
    <row r="86" spans="1:36">
      <c r="A86" s="150" t="s">
        <v>50</v>
      </c>
      <c r="C86" s="154"/>
      <c r="D86" s="193"/>
      <c r="E86" s="154">
        <v>19335448840</v>
      </c>
      <c r="F86" s="154">
        <v>17592552696</v>
      </c>
      <c r="G86" s="154">
        <v>12859460559</v>
      </c>
      <c r="H86" s="154"/>
      <c r="I86" s="154">
        <v>17355643922</v>
      </c>
      <c r="J86" s="154"/>
      <c r="K86" s="193"/>
      <c r="L86" s="154">
        <v>19485776075</v>
      </c>
      <c r="M86" s="154">
        <v>19989134000</v>
      </c>
      <c r="N86" s="154">
        <v>16552454599</v>
      </c>
      <c r="O86" s="154">
        <v>13623259452.780001</v>
      </c>
      <c r="P86" s="154">
        <v>10771588992</v>
      </c>
      <c r="Q86" s="154"/>
      <c r="R86" s="154"/>
      <c r="S86" s="154">
        <v>11025950726</v>
      </c>
      <c r="T86" s="154">
        <v>11856728686</v>
      </c>
      <c r="U86" s="154"/>
      <c r="V86" s="154">
        <v>12750139281</v>
      </c>
      <c r="W86" s="154">
        <v>23731204403</v>
      </c>
      <c r="X86" s="154">
        <v>22403498511</v>
      </c>
      <c r="Y86" s="154"/>
      <c r="Z86" s="154"/>
      <c r="AA86" s="154"/>
      <c r="AB86" s="217">
        <v>14610266294</v>
      </c>
      <c r="AC86" s="154"/>
      <c r="AD86" s="154">
        <v>22592045848</v>
      </c>
      <c r="AE86" s="154"/>
      <c r="AF86" s="154"/>
      <c r="AG86" s="154"/>
      <c r="AH86" s="154"/>
    </row>
    <row r="87" spans="1:36">
      <c r="A87" s="150" t="s">
        <v>139</v>
      </c>
      <c r="C87" s="200"/>
      <c r="D87" s="218"/>
      <c r="E87" s="219">
        <f>E86-E84</f>
        <v>16239762480</v>
      </c>
      <c r="F87" s="154">
        <f>F86-F84</f>
        <v>11455604137</v>
      </c>
      <c r="G87" s="219">
        <f>G86-G84</f>
        <v>4992610053</v>
      </c>
      <c r="H87" s="154"/>
      <c r="I87" s="219">
        <f>I86-I84</f>
        <v>13240069346</v>
      </c>
      <c r="J87" s="154"/>
      <c r="K87" s="220"/>
      <c r="L87" s="219">
        <f>L86-L84</f>
        <v>16840543207</v>
      </c>
      <c r="M87" s="217">
        <f>M86-M84</f>
        <v>12571197335</v>
      </c>
      <c r="N87" s="217">
        <f>N86-N84</f>
        <v>10144912060</v>
      </c>
      <c r="O87" s="217">
        <f>O86-O84</f>
        <v>8097799935.7800007</v>
      </c>
      <c r="P87" s="217">
        <f>P86-P84</f>
        <v>6321973052</v>
      </c>
      <c r="Q87" s="217"/>
      <c r="R87" s="217"/>
      <c r="S87" s="217">
        <f>S86-S84</f>
        <v>10142513709</v>
      </c>
      <c r="T87" s="217">
        <f>T86-T84</f>
        <v>5501152641</v>
      </c>
      <c r="U87" s="217"/>
      <c r="V87" s="217">
        <f>V86-V84</f>
        <v>10662120712</v>
      </c>
      <c r="W87" s="219">
        <f>W86-W84</f>
        <v>23731204403</v>
      </c>
      <c r="X87" s="154">
        <f>X86-X84</f>
        <v>22403498511</v>
      </c>
      <c r="Y87" s="219"/>
      <c r="Z87" s="154"/>
      <c r="AA87" s="154"/>
      <c r="AB87" s="217">
        <f>AB86-AB84</f>
        <v>14510756294</v>
      </c>
      <c r="AC87" s="219"/>
      <c r="AD87" s="219">
        <f>AD86-AD84</f>
        <v>18076640500</v>
      </c>
      <c r="AE87" s="219"/>
      <c r="AF87" s="219"/>
      <c r="AG87" s="219"/>
      <c r="AH87" s="219"/>
      <c r="AI87" s="219"/>
    </row>
    <row r="88" spans="1:36">
      <c r="A88" s="150" t="s">
        <v>181</v>
      </c>
      <c r="C88" s="154"/>
      <c r="D88" s="218"/>
      <c r="E88" s="154">
        <v>1191449165</v>
      </c>
      <c r="F88" s="154">
        <v>2125148775</v>
      </c>
      <c r="G88" s="154">
        <v>2418567300</v>
      </c>
      <c r="H88" s="154"/>
      <c r="I88" s="154">
        <v>2531624348</v>
      </c>
      <c r="J88" s="154"/>
      <c r="K88" s="193"/>
      <c r="L88" s="154">
        <v>2961362496</v>
      </c>
      <c r="M88" s="154">
        <v>2356786250</v>
      </c>
      <c r="N88" s="154">
        <v>2571152010</v>
      </c>
      <c r="O88" s="217">
        <v>1995506003</v>
      </c>
      <c r="P88" s="154">
        <v>2192511382</v>
      </c>
      <c r="Q88" s="154"/>
      <c r="R88" s="219"/>
      <c r="S88" s="154">
        <v>1667239920</v>
      </c>
      <c r="T88" s="154">
        <v>2398504486</v>
      </c>
      <c r="U88" s="154"/>
      <c r="V88" s="154">
        <v>2453798431</v>
      </c>
      <c r="W88" s="154">
        <v>2430387271</v>
      </c>
      <c r="X88" s="154">
        <v>2338039815</v>
      </c>
      <c r="Y88" s="217"/>
      <c r="Z88" s="154"/>
      <c r="AA88" s="154"/>
      <c r="AB88" s="154"/>
      <c r="AC88" s="154"/>
      <c r="AD88" s="217">
        <v>2769993911</v>
      </c>
      <c r="AE88" s="154"/>
      <c r="AF88" s="154"/>
      <c r="AG88" s="154"/>
      <c r="AH88" s="154"/>
      <c r="AI88" s="219"/>
    </row>
    <row r="89" spans="1:36">
      <c r="A89" s="150" t="s">
        <v>139</v>
      </c>
      <c r="C89" s="154"/>
      <c r="D89" s="218"/>
      <c r="E89" s="154">
        <f>E87+E88</f>
        <v>17431211645</v>
      </c>
      <c r="F89" s="154">
        <f>F87+F88</f>
        <v>13580752912</v>
      </c>
      <c r="G89" s="154">
        <f>G87+G88</f>
        <v>7411177353</v>
      </c>
      <c r="H89" s="154"/>
      <c r="I89" s="154">
        <f>I87+I88</f>
        <v>15771693694</v>
      </c>
      <c r="J89" s="193"/>
      <c r="K89" s="193"/>
      <c r="L89" s="154"/>
      <c r="M89" s="154">
        <f>M87+M88</f>
        <v>14927983585</v>
      </c>
      <c r="N89" s="154">
        <f>N87+N88</f>
        <v>12716064070</v>
      </c>
      <c r="O89" s="154">
        <f>O87+O88</f>
        <v>10093305938.780001</v>
      </c>
      <c r="P89" s="154">
        <f>P87+P88</f>
        <v>8514484434</v>
      </c>
      <c r="Q89" s="154"/>
      <c r="R89" s="154"/>
      <c r="S89" s="154">
        <f>S87+S88</f>
        <v>11809753629</v>
      </c>
      <c r="T89" s="154">
        <f>T87+T88</f>
        <v>7899657127</v>
      </c>
      <c r="U89" s="154"/>
      <c r="V89" s="154">
        <f>V87+V88</f>
        <v>13115919143</v>
      </c>
      <c r="W89" s="154">
        <f>W87+W88</f>
        <v>26161591674</v>
      </c>
      <c r="X89" s="154">
        <f>X87+X88</f>
        <v>24741538326</v>
      </c>
      <c r="Y89" s="217"/>
      <c r="Z89" s="219"/>
      <c r="AA89" s="219"/>
      <c r="AB89" s="154"/>
      <c r="AC89" s="154"/>
      <c r="AD89" s="219"/>
      <c r="AE89" s="219"/>
      <c r="AF89" s="219"/>
      <c r="AG89" s="219"/>
      <c r="AH89" s="219"/>
      <c r="AI89" s="219"/>
    </row>
    <row r="90" spans="1:36">
      <c r="A90" s="150" t="s">
        <v>407</v>
      </c>
      <c r="E90" s="154"/>
      <c r="F90" s="154"/>
      <c r="H90" s="217"/>
      <c r="I90" s="154"/>
      <c r="J90" s="193"/>
      <c r="K90" s="220"/>
      <c r="L90" s="154"/>
      <c r="M90" s="154"/>
      <c r="N90" s="154"/>
      <c r="P90" s="154"/>
      <c r="S90" s="219"/>
      <c r="T90" s="219"/>
      <c r="U90" s="154"/>
      <c r="V90" s="154">
        <f>V16+V52+V53+V61+V65</f>
        <v>2088018569</v>
      </c>
      <c r="W90" s="217">
        <f>W61+W65+W75+W79+W45+W27</f>
        <v>0</v>
      </c>
      <c r="X90" s="154"/>
      <c r="Z90" s="219"/>
      <c r="AB90" s="154"/>
      <c r="AG90" s="154"/>
      <c r="AH90" s="154"/>
      <c r="AJ90" s="219"/>
    </row>
    <row r="91" spans="1:36">
      <c r="C91" s="193">
        <v>8249167684</v>
      </c>
      <c r="F91" s="154"/>
      <c r="I91" s="219"/>
      <c r="K91" s="218"/>
      <c r="L91" s="154"/>
      <c r="R91" s="217" t="e">
        <f>R61+R65+R68+R71+R75+R79+#REF!+#REF!+#REF!+#REF!+#REF!+#REF!+#REF!+#REF!+#REF!</f>
        <v>#REF!</v>
      </c>
      <c r="S91" s="219"/>
      <c r="V91" s="154"/>
      <c r="X91" s="219"/>
      <c r="AD91" s="398" t="s">
        <v>473</v>
      </c>
      <c r="AE91" s="398"/>
    </row>
    <row r="92" spans="1:36">
      <c r="L92" s="154"/>
      <c r="Y92" s="154"/>
      <c r="AD92" s="169" t="s">
        <v>462</v>
      </c>
      <c r="AE92" s="176">
        <v>9061595</v>
      </c>
      <c r="AF92" s="399" t="s">
        <v>475</v>
      </c>
      <c r="AG92" s="400"/>
      <c r="AH92" s="222"/>
      <c r="AI92" s="169"/>
      <c r="AJ92" s="176"/>
    </row>
    <row r="93" spans="1:36">
      <c r="C93" s="150"/>
      <c r="D93" s="150"/>
      <c r="F93" s="395" t="s">
        <v>481</v>
      </c>
      <c r="G93" s="395"/>
      <c r="H93" s="395" t="s">
        <v>481</v>
      </c>
      <c r="I93" s="395"/>
      <c r="J93" s="395" t="s">
        <v>481</v>
      </c>
      <c r="K93" s="395"/>
      <c r="L93" s="395" t="s">
        <v>481</v>
      </c>
      <c r="M93" s="395"/>
      <c r="P93" s="395" t="s">
        <v>430</v>
      </c>
      <c r="Q93" s="395"/>
      <c r="R93" s="395"/>
      <c r="S93" s="395"/>
      <c r="T93" s="395"/>
      <c r="AD93" s="169" t="s">
        <v>463</v>
      </c>
      <c r="AE93" s="176">
        <v>17329877</v>
      </c>
      <c r="AF93" s="169" t="s">
        <v>474</v>
      </c>
      <c r="AG93" s="222">
        <v>29465088</v>
      </c>
      <c r="AH93" s="222"/>
      <c r="AI93" s="169"/>
      <c r="AJ93" s="176"/>
    </row>
    <row r="94" spans="1:36">
      <c r="F94" s="395" t="s">
        <v>482</v>
      </c>
      <c r="G94" s="395"/>
      <c r="H94" s="395" t="s">
        <v>504</v>
      </c>
      <c r="I94" s="395"/>
      <c r="J94" s="395" t="s">
        <v>508</v>
      </c>
      <c r="K94" s="395"/>
      <c r="L94" s="395" t="s">
        <v>515</v>
      </c>
      <c r="M94" s="395"/>
      <c r="O94" s="150" t="s">
        <v>375</v>
      </c>
      <c r="P94" s="397">
        <v>44544</v>
      </c>
      <c r="Q94" s="397"/>
      <c r="R94" s="397"/>
      <c r="S94" s="397"/>
      <c r="T94" s="397"/>
      <c r="U94" s="185"/>
      <c r="AD94" s="169" t="s">
        <v>464</v>
      </c>
      <c r="AE94" s="176">
        <v>6250000</v>
      </c>
      <c r="AF94" s="169"/>
      <c r="AG94" s="222"/>
      <c r="AH94" s="222"/>
      <c r="AI94" s="169"/>
      <c r="AJ94" s="176"/>
    </row>
    <row r="95" spans="1:36">
      <c r="F95" s="225" t="s">
        <v>233</v>
      </c>
      <c r="G95" s="225" t="s">
        <v>241</v>
      </c>
      <c r="H95" s="225" t="s">
        <v>233</v>
      </c>
      <c r="I95" s="225" t="s">
        <v>241</v>
      </c>
      <c r="J95" s="225" t="s">
        <v>233</v>
      </c>
      <c r="K95" s="225" t="s">
        <v>241</v>
      </c>
      <c r="L95" s="225" t="s">
        <v>233</v>
      </c>
      <c r="M95" s="225" t="s">
        <v>241</v>
      </c>
      <c r="P95" s="249" t="s">
        <v>443</v>
      </c>
      <c r="Q95" s="249"/>
      <c r="R95" s="249"/>
      <c r="S95" s="249" t="s">
        <v>444</v>
      </c>
      <c r="T95" s="249" t="s">
        <v>445</v>
      </c>
      <c r="U95" s="185"/>
      <c r="AD95" s="169" t="s">
        <v>465</v>
      </c>
      <c r="AE95" s="176">
        <v>6250000</v>
      </c>
      <c r="AF95" s="169"/>
      <c r="AG95" s="222"/>
      <c r="AH95" s="222"/>
      <c r="AI95" s="169"/>
      <c r="AJ95" s="176"/>
    </row>
    <row r="96" spans="1:36">
      <c r="C96" s="150"/>
      <c r="D96" s="150"/>
      <c r="F96" s="169" t="s">
        <v>483</v>
      </c>
      <c r="G96" s="176">
        <v>343636</v>
      </c>
      <c r="H96" s="169" t="s">
        <v>505</v>
      </c>
      <c r="I96" s="176">
        <v>27759800</v>
      </c>
      <c r="J96" s="169" t="s">
        <v>509</v>
      </c>
      <c r="K96" s="176">
        <v>26400000</v>
      </c>
      <c r="L96" s="169" t="s">
        <v>516</v>
      </c>
      <c r="M96" s="176">
        <v>2595000</v>
      </c>
      <c r="N96" s="247"/>
      <c r="O96" s="247" t="s">
        <v>376</v>
      </c>
      <c r="P96" s="250" t="s">
        <v>431</v>
      </c>
      <c r="Q96" s="250"/>
      <c r="R96" s="250"/>
      <c r="S96" s="250" t="s">
        <v>432</v>
      </c>
      <c r="T96" s="250">
        <v>720000000</v>
      </c>
      <c r="U96" s="247"/>
      <c r="V96" s="247"/>
      <c r="AD96" s="169" t="s">
        <v>466</v>
      </c>
      <c r="AE96" s="176">
        <v>16776235</v>
      </c>
      <c r="AF96" s="192"/>
      <c r="AG96" s="224"/>
      <c r="AH96" s="224"/>
      <c r="AI96" s="169"/>
      <c r="AJ96" s="176"/>
    </row>
    <row r="97" spans="3:40">
      <c r="C97" s="150"/>
      <c r="D97" s="150"/>
      <c r="F97" s="169" t="s">
        <v>484</v>
      </c>
      <c r="G97" s="176">
        <v>721636</v>
      </c>
      <c r="H97" s="169" t="s">
        <v>506</v>
      </c>
      <c r="I97" s="176">
        <v>27759800</v>
      </c>
      <c r="J97" s="169" t="s">
        <v>510</v>
      </c>
      <c r="K97" s="176">
        <v>3800000</v>
      </c>
      <c r="L97" s="169" t="s">
        <v>517</v>
      </c>
      <c r="M97" s="176">
        <v>5870050</v>
      </c>
      <c r="N97" s="247"/>
      <c r="O97" s="247"/>
      <c r="P97" s="250" t="s">
        <v>433</v>
      </c>
      <c r="Q97" s="250"/>
      <c r="R97" s="250"/>
      <c r="S97" s="250" t="s">
        <v>434</v>
      </c>
      <c r="T97" s="250">
        <v>207000000</v>
      </c>
      <c r="U97" s="247"/>
      <c r="V97" s="247"/>
      <c r="W97" s="395"/>
      <c r="X97" s="395"/>
      <c r="Y97" s="395"/>
      <c r="Z97" s="395"/>
      <c r="AD97" s="169" t="s">
        <v>467</v>
      </c>
      <c r="AE97" s="176">
        <v>9662500</v>
      </c>
      <c r="AG97" s="154"/>
      <c r="AH97" s="154"/>
      <c r="AI97" s="169"/>
      <c r="AJ97" s="176"/>
    </row>
    <row r="98" spans="3:40">
      <c r="C98" s="150"/>
      <c r="D98" s="150"/>
      <c r="F98" s="169" t="s">
        <v>485</v>
      </c>
      <c r="G98" s="176">
        <v>687272</v>
      </c>
      <c r="H98" s="169" t="s">
        <v>507</v>
      </c>
      <c r="I98" s="176">
        <v>27759800</v>
      </c>
      <c r="J98" s="169" t="s">
        <v>511</v>
      </c>
      <c r="K98" s="176">
        <v>2400000</v>
      </c>
      <c r="L98" s="169" t="s">
        <v>518</v>
      </c>
      <c r="M98" s="176">
        <v>2638810</v>
      </c>
      <c r="N98" s="247"/>
      <c r="O98" s="247"/>
      <c r="P98" s="250" t="s">
        <v>433</v>
      </c>
      <c r="Q98" s="250"/>
      <c r="R98" s="250"/>
      <c r="S98" s="250" t="s">
        <v>435</v>
      </c>
      <c r="T98" s="250">
        <v>202500000</v>
      </c>
      <c r="U98" s="247"/>
      <c r="V98" s="247"/>
      <c r="W98" s="398" t="s">
        <v>535</v>
      </c>
      <c r="X98" s="398"/>
      <c r="AD98" s="169" t="s">
        <v>468</v>
      </c>
      <c r="AE98" s="176">
        <v>5901551</v>
      </c>
      <c r="AG98" s="154"/>
      <c r="AH98" s="154"/>
      <c r="AI98" s="169"/>
      <c r="AJ98" s="176"/>
    </row>
    <row r="99" spans="3:40">
      <c r="C99" s="150"/>
      <c r="D99" s="150"/>
      <c r="F99" s="169" t="s">
        <v>486</v>
      </c>
      <c r="G99" s="176">
        <v>1080000</v>
      </c>
      <c r="H99" s="169"/>
      <c r="I99" s="176"/>
      <c r="J99" s="169" t="s">
        <v>512</v>
      </c>
      <c r="K99" s="176">
        <v>3000000</v>
      </c>
      <c r="L99" s="169" t="s">
        <v>519</v>
      </c>
      <c r="M99" s="176">
        <v>2832750</v>
      </c>
      <c r="N99" s="247"/>
      <c r="O99" s="247"/>
      <c r="P99" s="250" t="s">
        <v>236</v>
      </c>
      <c r="Q99" s="250"/>
      <c r="R99" s="250"/>
      <c r="S99" s="250" t="s">
        <v>436</v>
      </c>
      <c r="T99" s="250">
        <v>999999</v>
      </c>
      <c r="U99" s="247"/>
      <c r="V99" s="247"/>
      <c r="W99" s="225" t="s">
        <v>233</v>
      </c>
      <c r="X99" s="225" t="s">
        <v>241</v>
      </c>
      <c r="Y99" s="270"/>
      <c r="Z99" s="225"/>
      <c r="AD99" s="169" t="s">
        <v>469</v>
      </c>
      <c r="AE99" s="176">
        <v>21743422</v>
      </c>
      <c r="AG99" s="154"/>
      <c r="AH99" s="154"/>
      <c r="AI99" s="169"/>
      <c r="AJ99" s="176"/>
    </row>
    <row r="100" spans="3:40">
      <c r="C100" s="150"/>
      <c r="D100" s="150"/>
      <c r="F100" s="169" t="s">
        <v>487</v>
      </c>
      <c r="G100" s="176">
        <v>687272</v>
      </c>
      <c r="H100" s="169" t="s">
        <v>241</v>
      </c>
      <c r="I100" s="176">
        <f>SUM(I96:I99)</f>
        <v>83279400</v>
      </c>
      <c r="J100" s="169" t="s">
        <v>513</v>
      </c>
      <c r="K100" s="176">
        <v>1000000</v>
      </c>
      <c r="L100" s="169" t="s">
        <v>520</v>
      </c>
      <c r="M100" s="176">
        <v>4366667</v>
      </c>
      <c r="N100" s="247"/>
      <c r="O100" s="247"/>
      <c r="P100" s="250" t="s">
        <v>437</v>
      </c>
      <c r="Q100" s="250"/>
      <c r="R100" s="250"/>
      <c r="S100" s="250" t="s">
        <v>438</v>
      </c>
      <c r="T100" s="250">
        <v>1619800</v>
      </c>
      <c r="U100" s="247"/>
      <c r="V100" s="247"/>
      <c r="W100" s="226" t="s">
        <v>531</v>
      </c>
      <c r="X100" s="176">
        <v>5000000</v>
      </c>
      <c r="Y100" s="271"/>
      <c r="Z100" s="169"/>
      <c r="AD100" s="169" t="s">
        <v>470</v>
      </c>
      <c r="AE100" s="176">
        <v>7750000</v>
      </c>
      <c r="AG100" s="154"/>
      <c r="AH100" s="154"/>
      <c r="AI100" s="169"/>
      <c r="AJ100" s="176"/>
    </row>
    <row r="101" spans="3:40">
      <c r="C101" s="150"/>
      <c r="D101" s="150"/>
      <c r="F101" s="169" t="s">
        <v>488</v>
      </c>
      <c r="G101" s="176">
        <v>756000</v>
      </c>
      <c r="H101" s="154"/>
      <c r="J101" s="169" t="s">
        <v>514</v>
      </c>
      <c r="K101" s="176">
        <v>3330800</v>
      </c>
      <c r="L101" s="169" t="s">
        <v>521</v>
      </c>
      <c r="M101" s="176">
        <v>711146</v>
      </c>
      <c r="N101" s="247"/>
      <c r="O101" s="247"/>
      <c r="P101" s="250" t="s">
        <v>437</v>
      </c>
      <c r="Q101" s="250"/>
      <c r="R101" s="250"/>
      <c r="S101" s="250" t="s">
        <v>439</v>
      </c>
      <c r="T101" s="250">
        <v>5617950</v>
      </c>
      <c r="U101" s="247"/>
      <c r="V101" s="247"/>
      <c r="W101" s="226" t="s">
        <v>532</v>
      </c>
      <c r="X101" s="176">
        <v>432000</v>
      </c>
      <c r="Y101" s="271"/>
      <c r="Z101" s="169"/>
      <c r="AD101" s="169" t="s">
        <v>471</v>
      </c>
      <c r="AE101" s="176">
        <v>28065453</v>
      </c>
      <c r="AI101" s="169"/>
      <c r="AJ101" s="176"/>
    </row>
    <row r="102" spans="3:40">
      <c r="C102" s="150"/>
      <c r="D102" s="150"/>
      <c r="F102" s="169" t="s">
        <v>491</v>
      </c>
      <c r="G102" s="176">
        <v>1905000</v>
      </c>
      <c r="H102" s="154"/>
      <c r="I102" s="154"/>
      <c r="J102" s="169"/>
      <c r="K102" s="176"/>
      <c r="L102" s="169" t="s">
        <v>522</v>
      </c>
      <c r="M102" s="176">
        <v>432000</v>
      </c>
      <c r="O102" s="228"/>
      <c r="P102" s="396" t="s">
        <v>446</v>
      </c>
      <c r="Q102" s="396"/>
      <c r="R102" s="396"/>
      <c r="S102" s="396"/>
      <c r="T102" s="251">
        <f ca="1">SUM(T96:T108)</f>
        <v>1176654249</v>
      </c>
      <c r="U102" s="228"/>
      <c r="V102" s="229"/>
      <c r="W102" s="169" t="s">
        <v>533</v>
      </c>
      <c r="X102" s="176">
        <v>1506662</v>
      </c>
      <c r="Y102" s="271"/>
      <c r="Z102" s="169"/>
      <c r="AD102" s="169" t="s">
        <v>128</v>
      </c>
      <c r="AE102" s="176">
        <v>70661200</v>
      </c>
      <c r="AI102" s="169"/>
      <c r="AJ102" s="176"/>
      <c r="AN102" s="150" t="s">
        <v>108</v>
      </c>
    </row>
    <row r="103" spans="3:40">
      <c r="C103" s="150"/>
      <c r="D103" s="150"/>
      <c r="F103" s="169"/>
      <c r="G103" s="176"/>
      <c r="H103" s="154"/>
      <c r="I103" s="154"/>
      <c r="J103" s="169"/>
      <c r="K103" s="176"/>
      <c r="L103" s="169" t="s">
        <v>523</v>
      </c>
      <c r="M103" s="176">
        <v>1460000</v>
      </c>
      <c r="O103" s="228"/>
      <c r="P103" s="269"/>
      <c r="Q103" s="269"/>
      <c r="R103" s="269"/>
      <c r="S103" s="269"/>
      <c r="T103" s="251"/>
      <c r="U103" s="228"/>
      <c r="V103" s="229"/>
      <c r="W103" s="169" t="s">
        <v>534</v>
      </c>
      <c r="X103" s="176">
        <v>4745000</v>
      </c>
      <c r="Y103" s="271"/>
      <c r="Z103" s="169"/>
      <c r="AD103" s="169"/>
      <c r="AE103" s="176"/>
      <c r="AI103" s="169"/>
      <c r="AJ103" s="176"/>
    </row>
    <row r="104" spans="3:40">
      <c r="C104" s="150"/>
      <c r="D104" s="150"/>
      <c r="F104" s="169"/>
      <c r="G104" s="176"/>
      <c r="H104" s="154"/>
      <c r="I104" s="154"/>
      <c r="J104" s="169"/>
      <c r="K104" s="176"/>
      <c r="L104" s="169" t="s">
        <v>524</v>
      </c>
      <c r="M104" s="176">
        <v>1089999</v>
      </c>
      <c r="O104" s="228"/>
      <c r="P104" s="269"/>
      <c r="Q104" s="269"/>
      <c r="R104" s="269"/>
      <c r="S104" s="269"/>
      <c r="T104" s="251"/>
      <c r="U104" s="228"/>
      <c r="V104" s="229"/>
      <c r="W104" s="169"/>
      <c r="X104" s="176"/>
      <c r="Y104" s="271"/>
      <c r="Z104" s="169"/>
      <c r="AD104" s="169"/>
      <c r="AE104" s="176"/>
      <c r="AI104" s="169"/>
      <c r="AJ104" s="176"/>
    </row>
    <row r="105" spans="3:40">
      <c r="C105" s="150"/>
      <c r="D105" s="150"/>
      <c r="F105" s="169"/>
      <c r="G105" s="176"/>
      <c r="H105" s="154"/>
      <c r="I105" s="154"/>
      <c r="J105" s="169"/>
      <c r="K105" s="176"/>
      <c r="L105" s="169" t="s">
        <v>525</v>
      </c>
      <c r="M105" s="176">
        <v>500000</v>
      </c>
      <c r="O105" s="228"/>
      <c r="P105" s="269"/>
      <c r="Q105" s="269"/>
      <c r="R105" s="269"/>
      <c r="S105" s="269"/>
      <c r="T105" s="251"/>
      <c r="U105" s="228"/>
      <c r="V105" s="229"/>
      <c r="W105" s="169" t="s">
        <v>241</v>
      </c>
      <c r="X105" s="272">
        <f>SUM(X100:X104)</f>
        <v>11683662</v>
      </c>
      <c r="Y105" s="154"/>
      <c r="AD105" s="169"/>
      <c r="AE105" s="176"/>
      <c r="AI105" s="169"/>
      <c r="AJ105" s="176"/>
    </row>
    <row r="106" spans="3:40">
      <c r="C106" s="150"/>
      <c r="D106" s="150"/>
      <c r="F106" s="169" t="s">
        <v>489</v>
      </c>
      <c r="G106" s="176">
        <v>3293250</v>
      </c>
      <c r="I106" s="154"/>
      <c r="J106" s="169"/>
      <c r="K106" s="176"/>
      <c r="L106" s="169" t="s">
        <v>526</v>
      </c>
      <c r="M106" s="176">
        <v>15000000</v>
      </c>
      <c r="N106" s="247"/>
      <c r="O106" s="247"/>
      <c r="P106" s="250" t="s">
        <v>440</v>
      </c>
      <c r="Q106" s="250"/>
      <c r="R106" s="250"/>
      <c r="S106" s="250" t="s">
        <v>441</v>
      </c>
      <c r="T106" s="250">
        <v>32809000</v>
      </c>
      <c r="U106" s="247"/>
      <c r="V106" s="247"/>
      <c r="W106" s="226"/>
      <c r="X106" s="169"/>
      <c r="Y106" s="176"/>
      <c r="Z106" s="169"/>
      <c r="AD106" s="169" t="s">
        <v>472</v>
      </c>
      <c r="AE106" s="176">
        <v>17255625</v>
      </c>
      <c r="AI106" s="169"/>
      <c r="AJ106" s="176"/>
      <c r="AM106" s="150" t="s">
        <v>111</v>
      </c>
    </row>
    <row r="107" spans="3:40">
      <c r="C107" s="150"/>
      <c r="D107" s="150"/>
      <c r="F107" s="169"/>
      <c r="G107" s="176"/>
      <c r="I107" s="154"/>
      <c r="J107" s="169"/>
      <c r="K107" s="176"/>
      <c r="L107" s="169"/>
      <c r="M107" s="176"/>
      <c r="N107" s="247"/>
      <c r="O107" s="247"/>
      <c r="P107" s="250"/>
      <c r="Q107" s="250"/>
      <c r="R107" s="250"/>
      <c r="S107" s="250"/>
      <c r="T107" s="250"/>
      <c r="U107" s="247"/>
      <c r="V107" s="247"/>
      <c r="W107" s="226"/>
      <c r="X107" s="169"/>
      <c r="Y107" s="176"/>
      <c r="Z107" s="169"/>
      <c r="AD107" s="169"/>
      <c r="AE107" s="176"/>
      <c r="AI107" s="169"/>
      <c r="AJ107" s="176"/>
    </row>
    <row r="108" spans="3:40">
      <c r="C108" s="150"/>
      <c r="D108" s="150"/>
      <c r="E108" s="150" t="s">
        <v>111</v>
      </c>
      <c r="F108" s="169" t="s">
        <v>490</v>
      </c>
      <c r="G108" s="176">
        <v>5729600</v>
      </c>
      <c r="I108" s="154"/>
      <c r="J108" s="169" t="s">
        <v>241</v>
      </c>
      <c r="K108" s="176">
        <f>SUM(K96:K106)</f>
        <v>39930800</v>
      </c>
      <c r="L108" s="169" t="s">
        <v>241</v>
      </c>
      <c r="M108" s="176">
        <f>SUM(M96:M106)</f>
        <v>37496422</v>
      </c>
      <c r="N108" s="247"/>
      <c r="O108" s="247"/>
      <c r="P108" s="250" t="s">
        <v>440</v>
      </c>
      <c r="Q108" s="250"/>
      <c r="R108" s="250"/>
      <c r="S108" s="250" t="s">
        <v>442</v>
      </c>
      <c r="T108" s="250">
        <v>6107500</v>
      </c>
      <c r="U108" s="247"/>
      <c r="V108" s="247"/>
      <c r="W108" s="226"/>
      <c r="X108" s="169"/>
      <c r="Y108" s="176"/>
      <c r="Z108" s="169"/>
      <c r="AD108" s="169" t="s">
        <v>130</v>
      </c>
      <c r="AE108" s="176">
        <v>131535483</v>
      </c>
      <c r="AI108" s="169"/>
      <c r="AJ108" s="176"/>
    </row>
    <row r="109" spans="3:40">
      <c r="C109" s="150"/>
      <c r="D109" s="154"/>
      <c r="E109" s="154">
        <v>3913100</v>
      </c>
      <c r="F109" s="169"/>
      <c r="G109" s="176"/>
      <c r="I109" s="154"/>
      <c r="J109" s="193"/>
      <c r="O109" s="228"/>
      <c r="P109" s="248"/>
      <c r="Q109" s="248"/>
      <c r="R109" s="248"/>
      <c r="S109" s="248"/>
      <c r="T109" s="248"/>
      <c r="U109" s="248"/>
      <c r="V109" s="228"/>
      <c r="W109" s="248"/>
      <c r="X109" s="248"/>
      <c r="Y109" s="248"/>
      <c r="Z109" s="154"/>
      <c r="AA109" s="154"/>
      <c r="AD109" s="169" t="s">
        <v>128</v>
      </c>
      <c r="AE109" s="176">
        <v>12601000</v>
      </c>
      <c r="AI109" s="169"/>
      <c r="AJ109" s="176"/>
    </row>
    <row r="110" spans="3:40">
      <c r="D110" s="193" t="s">
        <v>111</v>
      </c>
      <c r="E110" s="154">
        <v>5857200</v>
      </c>
      <c r="F110" s="169" t="s">
        <v>241</v>
      </c>
      <c r="G110" s="176">
        <f>SUM(G96:G109)</f>
        <v>15203666</v>
      </c>
      <c r="H110" s="154"/>
      <c r="I110" s="154"/>
      <c r="J110" s="193"/>
      <c r="P110" s="247"/>
      <c r="Q110" s="247"/>
      <c r="R110" s="247"/>
      <c r="S110" s="247"/>
      <c r="T110" s="154"/>
      <c r="U110" s="154"/>
      <c r="W110" s="154"/>
      <c r="X110" s="154"/>
      <c r="Y110" s="154"/>
      <c r="Z110" s="154"/>
      <c r="AA110" s="154"/>
      <c r="AD110" s="169"/>
      <c r="AE110" s="176"/>
      <c r="AI110" s="192"/>
      <c r="AJ110" s="227"/>
    </row>
    <row r="111" spans="3:40">
      <c r="D111" s="193"/>
      <c r="E111" s="154">
        <v>4120000</v>
      </c>
      <c r="G111" s="154"/>
      <c r="H111" s="154"/>
      <c r="I111" s="154"/>
      <c r="J111" s="193"/>
      <c r="P111" s="154"/>
      <c r="Q111" s="154"/>
      <c r="R111" s="154"/>
      <c r="S111" s="154"/>
      <c r="T111" s="154"/>
      <c r="U111" s="154"/>
      <c r="W111" s="248"/>
      <c r="X111" s="248"/>
      <c r="Y111" s="248"/>
      <c r="Z111" s="154"/>
      <c r="AA111" s="154"/>
      <c r="AD111" s="192" t="s">
        <v>241</v>
      </c>
      <c r="AE111" s="227">
        <f>SUM(AE92:AE109)</f>
        <v>360843941</v>
      </c>
      <c r="AJ111" s="154"/>
    </row>
    <row r="112" spans="3:40">
      <c r="D112" s="193"/>
      <c r="E112" s="154">
        <v>1750000</v>
      </c>
      <c r="G112" s="154"/>
      <c r="H112" s="154"/>
      <c r="I112" s="154"/>
      <c r="J112" s="193"/>
      <c r="L112" s="154"/>
      <c r="M112" s="154"/>
      <c r="P112" s="154"/>
      <c r="Q112" s="154"/>
      <c r="R112" s="154"/>
      <c r="S112" s="154"/>
      <c r="T112" s="154"/>
      <c r="U112" s="154"/>
      <c r="W112" s="154"/>
      <c r="X112" s="154"/>
      <c r="Y112" s="154"/>
      <c r="Z112" s="154"/>
      <c r="AA112" s="154"/>
      <c r="AJ112" s="154"/>
      <c r="AL112" s="150" t="s">
        <v>112</v>
      </c>
    </row>
    <row r="113" spans="3:42">
      <c r="D113" s="193"/>
      <c r="E113" s="154">
        <v>1350000</v>
      </c>
      <c r="H113" s="154"/>
      <c r="I113" s="154"/>
      <c r="K113" s="193">
        <v>210466616</v>
      </c>
      <c r="L113" s="154">
        <v>883437017</v>
      </c>
      <c r="M113" s="154">
        <v>157496882</v>
      </c>
      <c r="N113" s="154"/>
      <c r="O113" s="154"/>
      <c r="P113" s="154"/>
      <c r="Q113" s="154"/>
      <c r="R113" s="154"/>
      <c r="S113" s="154"/>
      <c r="T113" s="154"/>
      <c r="U113" s="154"/>
      <c r="W113" s="248"/>
      <c r="X113" s="248"/>
      <c r="Y113" s="248"/>
      <c r="Z113" s="154"/>
      <c r="AA113" s="154"/>
      <c r="AD113" s="150" t="s">
        <v>415</v>
      </c>
      <c r="AF113" s="154">
        <v>1000000000</v>
      </c>
      <c r="AG113" s="154">
        <v>202787778</v>
      </c>
      <c r="AH113" s="154">
        <v>168013836</v>
      </c>
      <c r="AI113" s="154">
        <v>88797176</v>
      </c>
      <c r="AJ113" s="154">
        <v>287208700</v>
      </c>
      <c r="AP113" s="150" t="s">
        <v>108</v>
      </c>
    </row>
    <row r="114" spans="3:42">
      <c r="D114" s="193"/>
      <c r="E114" s="154">
        <v>27759800</v>
      </c>
      <c r="H114" s="154"/>
      <c r="I114" s="154"/>
      <c r="K114" s="193" t="e">
        <f ca="1">[3]!terbilang(K113)</f>
        <v>#NAME?</v>
      </c>
      <c r="L114" s="193" t="e">
        <f ca="1">[3]!terbilang(L113)</f>
        <v>#NAME?</v>
      </c>
      <c r="M114" s="193" t="e">
        <f ca="1">[3]!terbilang(M113)</f>
        <v>#NAME?</v>
      </c>
      <c r="N114" s="154"/>
      <c r="O114" s="154"/>
      <c r="P114" s="154"/>
      <c r="Q114" s="154"/>
      <c r="R114" s="154"/>
      <c r="S114" s="154"/>
      <c r="T114" s="154"/>
      <c r="U114" s="154"/>
      <c r="W114" s="154"/>
      <c r="X114" s="154"/>
      <c r="Y114" s="154"/>
      <c r="Z114" s="154"/>
      <c r="AA114" s="154"/>
      <c r="AE114" s="154">
        <v>160312320</v>
      </c>
      <c r="AF114" s="154" t="e">
        <f ca="1">[3]!terbilang(AF113)</f>
        <v>#NAME?</v>
      </c>
      <c r="AG114" s="154" t="e">
        <f ca="1">[3]!terbilang(AG113)</f>
        <v>#NAME?</v>
      </c>
      <c r="AH114" s="154" t="e">
        <f ca="1">[3]!terbilang(AH113)</f>
        <v>#NAME?</v>
      </c>
      <c r="AI114" s="154" t="e">
        <f ca="1">[3]!terbilang(AI113)</f>
        <v>#NAME?</v>
      </c>
      <c r="AJ114" s="154" t="e">
        <f ca="1">[3]!terbilang(AJ113)</f>
        <v>#NAME?</v>
      </c>
    </row>
    <row r="115" spans="3:42">
      <c r="C115" s="150"/>
      <c r="D115" s="154"/>
      <c r="E115" s="154">
        <v>27759800</v>
      </c>
      <c r="H115" s="154"/>
      <c r="I115" s="154"/>
      <c r="K115" s="193">
        <v>13153375</v>
      </c>
      <c r="L115" s="154">
        <v>11636742</v>
      </c>
      <c r="M115" s="154">
        <v>6384387</v>
      </c>
      <c r="N115" s="154"/>
      <c r="O115" s="154"/>
      <c r="P115" s="154"/>
      <c r="Q115" s="154"/>
      <c r="R115" s="154"/>
      <c r="S115" s="154"/>
      <c r="T115" s="154"/>
      <c r="U115" s="154"/>
      <c r="W115" s="248"/>
      <c r="X115" s="154"/>
      <c r="Y115" s="154"/>
      <c r="Z115" s="154"/>
      <c r="AA115" s="154"/>
      <c r="AE115" s="154" t="e">
        <f ca="1">[3]!terbilang(AE114)</f>
        <v>#NAME?</v>
      </c>
      <c r="AF115" s="154"/>
      <c r="AG115" s="154"/>
      <c r="AH115" s="154"/>
      <c r="AI115" s="154"/>
      <c r="AJ115" s="154"/>
    </row>
    <row r="116" spans="3:42">
      <c r="C116" s="150"/>
      <c r="D116" s="154"/>
      <c r="E116" s="154">
        <v>27759800</v>
      </c>
      <c r="G116" s="154">
        <v>2941161888</v>
      </c>
      <c r="H116" s="154"/>
      <c r="I116" s="154">
        <v>500000000</v>
      </c>
      <c r="J116" s="193"/>
      <c r="K116" s="193" t="e">
        <f ca="1">[3]!terbilang(K115)</f>
        <v>#NAME?</v>
      </c>
      <c r="L116" s="193" t="e">
        <f ca="1">[3]!terbilang(L115)</f>
        <v>#NAME?</v>
      </c>
      <c r="M116" s="193" t="e">
        <f ca="1">[3]!terbilang(M115)</f>
        <v>#NAME?</v>
      </c>
      <c r="N116" s="193"/>
      <c r="O116" s="193"/>
      <c r="P116" s="193"/>
      <c r="Q116" s="154"/>
      <c r="R116" s="154"/>
      <c r="S116" s="154"/>
      <c r="T116" s="154"/>
      <c r="U116" s="154"/>
      <c r="W116" s="154"/>
      <c r="X116" s="154"/>
      <c r="Y116" s="154"/>
      <c r="Z116" s="154"/>
      <c r="AA116" s="154"/>
      <c r="AE116" s="154">
        <v>17329877</v>
      </c>
      <c r="AF116" s="154"/>
      <c r="AG116" s="154"/>
      <c r="AH116" s="154"/>
      <c r="AI116" s="154"/>
      <c r="AJ116" s="154"/>
    </row>
    <row r="117" spans="3:42">
      <c r="D117" s="193"/>
      <c r="F117" s="219"/>
      <c r="G117" s="154" t="e">
        <f ca="1">[3]!terbilang(G116)</f>
        <v>#NAME?</v>
      </c>
      <c r="H117" s="154">
        <v>43053981</v>
      </c>
      <c r="I117" s="154" t="e">
        <f ca="1">[3]!terbilang(I116)</f>
        <v>#NAME?</v>
      </c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W117" s="154"/>
      <c r="X117" s="154"/>
      <c r="Y117" s="154"/>
      <c r="Z117" s="154"/>
      <c r="AA117" s="154"/>
      <c r="AE117" s="154" t="e">
        <f ca="1">[3]!terbilang(AE116)</f>
        <v>#NAME?</v>
      </c>
      <c r="AF117" s="154"/>
      <c r="AG117" s="154"/>
      <c r="AH117" s="154"/>
      <c r="AI117" s="154"/>
      <c r="AJ117" s="154"/>
    </row>
    <row r="118" spans="3:42">
      <c r="G118" s="154"/>
      <c r="H118" s="193" t="e">
        <f ca="1">[3]!terbilang(H117)</f>
        <v>#NAME?</v>
      </c>
      <c r="I118" s="193">
        <v>1089999</v>
      </c>
      <c r="J118" s="193"/>
      <c r="K118" s="193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W118" s="248"/>
      <c r="X118" s="248"/>
      <c r="Y118" s="248"/>
      <c r="Z118" s="248"/>
      <c r="AA118" s="154"/>
      <c r="AE118" s="154"/>
      <c r="AF118" s="154"/>
      <c r="AG118" s="154"/>
      <c r="AH118" s="154"/>
      <c r="AI118" s="154"/>
      <c r="AJ118" s="154"/>
    </row>
    <row r="119" spans="3:42">
      <c r="G119" s="154"/>
      <c r="H119" s="154"/>
      <c r="I119" s="154" t="e">
        <f ca="1">[3]!terbilang(I118)</f>
        <v>#NAME?</v>
      </c>
      <c r="J119" s="154"/>
      <c r="K119" s="154"/>
      <c r="L119" s="154"/>
      <c r="M119" s="154"/>
      <c r="N119" s="154"/>
      <c r="O119" s="154"/>
      <c r="P119" s="154">
        <v>595314905</v>
      </c>
      <c r="Q119" s="154">
        <v>168164602</v>
      </c>
      <c r="R119" s="154">
        <v>1713440499</v>
      </c>
      <c r="S119" s="154">
        <v>10927943</v>
      </c>
      <c r="T119" s="154">
        <v>4488989910</v>
      </c>
      <c r="U119" s="154"/>
      <c r="W119" s="154"/>
      <c r="X119" s="154"/>
      <c r="Y119" s="154"/>
      <c r="Z119" s="154"/>
      <c r="AA119" s="154"/>
      <c r="AB119" s="154"/>
      <c r="AE119" s="154"/>
      <c r="AF119" s="154"/>
      <c r="AG119" s="154"/>
      <c r="AH119" s="154"/>
      <c r="AI119" s="154"/>
      <c r="AJ119" s="154"/>
    </row>
    <row r="120" spans="3:42">
      <c r="G120" s="154"/>
      <c r="H120" s="193"/>
      <c r="I120" s="154"/>
      <c r="J120" s="154"/>
      <c r="K120" s="154"/>
      <c r="L120" s="154"/>
      <c r="M120" s="154"/>
      <c r="P120" s="154" t="e">
        <f ca="1">[3]!terbilang(P119)</f>
        <v>#NAME?</v>
      </c>
      <c r="Q120" s="154" t="e">
        <f ca="1">[3]!terbilang(Q119)</f>
        <v>#NAME?</v>
      </c>
      <c r="R120" s="154" t="e">
        <f ca="1">[3]!terbilang(R119)</f>
        <v>#NAME?</v>
      </c>
      <c r="S120" s="154" t="e">
        <f ca="1">[3]!terbilang(S119)</f>
        <v>#NAME?</v>
      </c>
      <c r="T120" s="154" t="e">
        <f ca="1">[3]!terbilang(T119)</f>
        <v>#NAME?</v>
      </c>
      <c r="U120" s="154"/>
      <c r="W120" s="248"/>
      <c r="X120" s="248"/>
      <c r="Y120" s="248"/>
      <c r="Z120" s="248"/>
      <c r="AA120" s="154"/>
      <c r="AB120" s="154"/>
      <c r="AE120" s="154"/>
      <c r="AF120" s="154"/>
      <c r="AG120" s="154"/>
      <c r="AH120" s="154"/>
      <c r="AI120" s="154"/>
      <c r="AJ120" s="154"/>
    </row>
    <row r="121" spans="3:42">
      <c r="G121" s="154"/>
      <c r="H121" s="154"/>
      <c r="I121" s="154"/>
      <c r="J121" s="154"/>
      <c r="K121" s="154"/>
      <c r="L121" s="154"/>
      <c r="P121" s="154"/>
      <c r="Q121" s="154"/>
      <c r="R121" s="154"/>
      <c r="S121" s="154"/>
      <c r="T121" s="154"/>
      <c r="U121" s="154"/>
      <c r="X121" s="154"/>
      <c r="Y121" s="154"/>
      <c r="Z121" s="154">
        <v>49799326</v>
      </c>
      <c r="AA121" s="154">
        <v>729771640</v>
      </c>
      <c r="AB121" s="154">
        <v>2585155973</v>
      </c>
      <c r="AC121" s="154">
        <v>2657567490</v>
      </c>
      <c r="AD121" s="154">
        <v>1267351321</v>
      </c>
      <c r="AF121" s="154"/>
      <c r="AG121" s="154"/>
      <c r="AH121" s="154"/>
      <c r="AI121" s="154"/>
      <c r="AJ121" s="154"/>
    </row>
    <row r="122" spans="3:42">
      <c r="G122" s="154"/>
      <c r="H122" s="154"/>
      <c r="I122" s="154"/>
      <c r="J122" s="154"/>
      <c r="K122" s="154"/>
      <c r="L122" s="154"/>
      <c r="P122" s="154">
        <v>29677211</v>
      </c>
      <c r="Q122" s="154">
        <v>112540482</v>
      </c>
      <c r="W122" s="154"/>
      <c r="X122" s="154">
        <v>30000</v>
      </c>
      <c r="Y122" s="154">
        <v>30000</v>
      </c>
      <c r="Z122" s="154" t="e">
        <f ca="1">[3]!terbilang(Z121)</f>
        <v>#NAME?</v>
      </c>
      <c r="AA122" s="154" t="e">
        <f ca="1">[3]!terbilang(AA121)</f>
        <v>#NAME?</v>
      </c>
      <c r="AB122" s="154" t="e">
        <f ca="1">[3]!terbilang(AB121)</f>
        <v>#NAME?</v>
      </c>
      <c r="AC122" s="154" t="e">
        <f ca="1">[3]!terbilang(AC121)</f>
        <v>#NAME?</v>
      </c>
      <c r="AD122" s="154" t="e">
        <f ca="1">[3]!terbilang(AD121)</f>
        <v>#NAME?</v>
      </c>
      <c r="AF122" s="154"/>
      <c r="AG122" s="154"/>
      <c r="AH122" s="154"/>
      <c r="AI122" s="154"/>
      <c r="AJ122" s="154"/>
    </row>
    <row r="123" spans="3:42">
      <c r="D123" s="193">
        <v>981505184</v>
      </c>
      <c r="E123" s="154">
        <v>6073063</v>
      </c>
      <c r="F123" s="154">
        <v>3912639567</v>
      </c>
      <c r="G123" s="154">
        <v>25470804</v>
      </c>
      <c r="H123" s="154"/>
      <c r="I123" s="154"/>
      <c r="J123" s="193"/>
      <c r="K123" s="193"/>
      <c r="L123" s="154"/>
      <c r="P123" s="154" t="e">
        <f ca="1">[3]!terbilang(P122)</f>
        <v>#NAME?</v>
      </c>
      <c r="Q123" s="154" t="e">
        <f ca="1">[3]!terbilang(Q122)</f>
        <v>#NAME?</v>
      </c>
      <c r="R123" s="185"/>
      <c r="T123" s="154"/>
      <c r="W123" s="248"/>
      <c r="X123" s="248" t="e">
        <f ca="1">[3]!terbilang(X122)</f>
        <v>#NAME?</v>
      </c>
      <c r="Y123" s="248" t="e">
        <f ca="1">[3]!terbilang(Y122)</f>
        <v>#NAME?</v>
      </c>
      <c r="Z123" s="248">
        <v>4365208650</v>
      </c>
      <c r="AA123" s="154">
        <v>1415414360</v>
      </c>
      <c r="AB123" s="154">
        <v>5235098</v>
      </c>
      <c r="AC123" s="154">
        <v>74959574</v>
      </c>
      <c r="AD123" s="154">
        <v>9023267</v>
      </c>
    </row>
    <row r="124" spans="3:42">
      <c r="D124" s="193" t="e">
        <f ca="1">[3]!terbilang(D123)</f>
        <v>#NAME?</v>
      </c>
      <c r="E124" s="193" t="e">
        <f ca="1">[3]!terbilang(E123)</f>
        <v>#NAME?</v>
      </c>
      <c r="F124" s="193" t="e">
        <f ca="1">[3]!terbilang(F123)</f>
        <v>#NAME?</v>
      </c>
      <c r="G124" s="193" t="e">
        <f ca="1">[3]!terbilang(G123)</f>
        <v>#NAME?</v>
      </c>
      <c r="H124" s="154"/>
      <c r="I124" s="154"/>
      <c r="J124" s="154"/>
      <c r="K124" s="154"/>
      <c r="L124" s="154"/>
      <c r="P124" s="154"/>
      <c r="R124" s="185"/>
      <c r="T124" s="154"/>
      <c r="W124" s="154"/>
      <c r="X124" s="154">
        <v>3987154343</v>
      </c>
      <c r="Y124" s="154">
        <v>32701022</v>
      </c>
      <c r="Z124" s="154" t="e">
        <f ca="1">[3]!terbilang(Z123)</f>
        <v>#NAME?</v>
      </c>
      <c r="AA124" s="154" t="e">
        <f ca="1">[3]!terbilang(AA123)</f>
        <v>#NAME?</v>
      </c>
      <c r="AB124" s="154" t="e">
        <f ca="1">[3]!terbilang(AB123)</f>
        <v>#NAME?</v>
      </c>
      <c r="AC124" s="154" t="e">
        <f ca="1">[3]!terbilang(AC123)</f>
        <v>#NAME?</v>
      </c>
      <c r="AD124" s="154" t="e">
        <f ca="1">[3]!terbilang(AD123)</f>
        <v>#NAME?</v>
      </c>
    </row>
    <row r="125" spans="3:42">
      <c r="C125" s="150"/>
      <c r="D125" s="193"/>
      <c r="E125" s="154"/>
      <c r="F125" s="154"/>
      <c r="G125" s="154"/>
      <c r="H125" s="154"/>
      <c r="I125" s="154"/>
      <c r="J125" s="193"/>
      <c r="K125" s="193"/>
      <c r="L125" s="154"/>
      <c r="P125" s="154">
        <v>4075000</v>
      </c>
      <c r="Q125" s="154">
        <v>32721000</v>
      </c>
      <c r="R125" s="154"/>
      <c r="T125" s="154"/>
      <c r="W125" s="248"/>
      <c r="X125" s="248" t="e">
        <f ca="1">[3]!terbilang(X124)</f>
        <v>#NAME?</v>
      </c>
      <c r="Y125" s="248" t="e">
        <f ca="1">[3]!terbilang(Y124)</f>
        <v>#NAME?</v>
      </c>
      <c r="Z125" s="248"/>
      <c r="AA125" s="154"/>
      <c r="AB125" s="154"/>
      <c r="AC125" s="154"/>
      <c r="AD125" s="154"/>
      <c r="AE125" s="154"/>
      <c r="AF125" s="154"/>
      <c r="AG125" s="154"/>
      <c r="AH125" s="154"/>
    </row>
    <row r="126" spans="3:42">
      <c r="C126" s="150"/>
      <c r="D126" s="193"/>
      <c r="E126" s="193"/>
      <c r="F126" s="193"/>
      <c r="G126" s="193"/>
      <c r="H126" s="154"/>
      <c r="I126" s="154"/>
      <c r="J126" s="154"/>
      <c r="K126" s="154"/>
      <c r="L126" s="154"/>
      <c r="P126" s="154" t="e">
        <f ca="1">[3]!terbilang(P125)</f>
        <v>#NAME?</v>
      </c>
      <c r="Q126" s="154" t="e">
        <f ca="1">[3]!terbilang(Q125)</f>
        <v>#NAME?</v>
      </c>
      <c r="R126" s="154"/>
      <c r="T126" s="154"/>
      <c r="W126" s="154"/>
      <c r="X126" s="154"/>
      <c r="Y126" s="154"/>
      <c r="Z126" s="154"/>
      <c r="AA126" s="154"/>
      <c r="AB126" s="154"/>
      <c r="AC126" s="154"/>
      <c r="AD126" s="154"/>
      <c r="AG126" s="154"/>
      <c r="AH126" s="154"/>
    </row>
    <row r="127" spans="3:42">
      <c r="C127" s="150"/>
      <c r="D127" s="193"/>
      <c r="E127" s="154"/>
      <c r="F127" s="154"/>
      <c r="G127" s="154"/>
      <c r="H127" s="154"/>
      <c r="I127" s="154"/>
      <c r="J127" s="193"/>
      <c r="K127" s="193"/>
      <c r="L127" s="154"/>
      <c r="P127" s="154">
        <v>6107500</v>
      </c>
      <c r="Q127" s="154">
        <v>6381950</v>
      </c>
      <c r="R127" s="154"/>
      <c r="T127" s="154"/>
      <c r="V127" s="185"/>
      <c r="W127" s="248"/>
      <c r="X127" s="248" t="e">
        <f ca="1">[3]!terbilang(X126)</f>
        <v>#NAME?</v>
      </c>
      <c r="Y127" s="248" t="e">
        <f ca="1">[3]!terbilang(Y126)</f>
        <v>#NAME?</v>
      </c>
      <c r="Z127" s="154"/>
      <c r="AA127" s="154"/>
      <c r="AB127" s="154"/>
      <c r="AC127" s="154"/>
      <c r="AD127" s="154"/>
      <c r="AE127" s="154"/>
      <c r="AF127" s="154"/>
      <c r="AG127" s="154"/>
      <c r="AH127" s="154"/>
    </row>
    <row r="128" spans="3:42">
      <c r="C128" s="150"/>
      <c r="D128" s="193"/>
      <c r="E128" s="154"/>
      <c r="F128" s="154"/>
      <c r="G128" s="154"/>
      <c r="H128" s="154"/>
      <c r="I128" s="154"/>
      <c r="K128" s="193"/>
      <c r="L128" s="154"/>
      <c r="P128" s="154" t="e">
        <f ca="1">[3]!terbilang(P127)</f>
        <v>#NAME?</v>
      </c>
      <c r="Q128" s="154" t="e">
        <f ca="1">[3]!terbilang(Q127)</f>
        <v>#NAME?</v>
      </c>
      <c r="R128" s="154"/>
      <c r="T128" s="154"/>
      <c r="W128" s="154"/>
      <c r="X128" s="154"/>
      <c r="Y128" s="154"/>
      <c r="Z128" s="154"/>
      <c r="AA128" s="154"/>
      <c r="AB128" s="154"/>
      <c r="AC128" s="154"/>
      <c r="AD128" s="154"/>
      <c r="AF128" s="154"/>
      <c r="AG128" s="154"/>
      <c r="AH128" s="154"/>
    </row>
    <row r="129" spans="3:34">
      <c r="C129" s="150"/>
      <c r="D129" s="193"/>
      <c r="E129" s="154"/>
      <c r="F129" s="154"/>
      <c r="G129" s="154"/>
      <c r="H129" s="154"/>
      <c r="J129" s="154"/>
      <c r="K129" s="154"/>
      <c r="L129" s="154"/>
      <c r="P129" s="154">
        <v>9188500</v>
      </c>
      <c r="Q129" s="154">
        <v>3190000</v>
      </c>
      <c r="R129" s="154"/>
      <c r="T129" s="154"/>
      <c r="W129" s="248"/>
      <c r="X129" s="248" t="e">
        <f ca="1">[3]!terbilang(X128)</f>
        <v>#NAME?</v>
      </c>
      <c r="Y129" s="248" t="e">
        <f ca="1">[3]!terbilang(Y128)</f>
        <v>#NAME?</v>
      </c>
      <c r="Z129" s="248"/>
      <c r="AA129" s="248"/>
      <c r="AB129" s="154"/>
      <c r="AC129" s="154"/>
      <c r="AD129" s="154"/>
      <c r="AE129" s="154"/>
      <c r="AF129" s="154"/>
      <c r="AG129" s="154"/>
      <c r="AH129" s="154"/>
    </row>
    <row r="130" spans="3:34">
      <c r="C130" s="150"/>
      <c r="D130" s="193"/>
      <c r="E130" s="193"/>
      <c r="F130" s="193" t="s">
        <v>111</v>
      </c>
      <c r="G130" s="193"/>
      <c r="H130" s="154"/>
      <c r="J130" s="193"/>
      <c r="K130" s="193"/>
      <c r="L130" s="154"/>
      <c r="P130" s="154" t="e">
        <f ca="1">[3]!terbilang(P129)</f>
        <v>#NAME?</v>
      </c>
      <c r="Q130" s="154" t="e">
        <f ca="1">[3]!terbilang(Q129)</f>
        <v>#NAME?</v>
      </c>
      <c r="R130" s="154"/>
      <c r="T130" s="154"/>
      <c r="Z130" s="154"/>
      <c r="AA130" s="154"/>
      <c r="AB130" s="154"/>
      <c r="AC130" s="154"/>
      <c r="AD130" s="154"/>
      <c r="AG130" s="154"/>
      <c r="AH130" s="154"/>
    </row>
    <row r="131" spans="3:34">
      <c r="C131" s="150"/>
      <c r="D131" s="193"/>
      <c r="E131" s="154" t="s">
        <v>111</v>
      </c>
      <c r="F131" s="154"/>
      <c r="G131" s="154"/>
      <c r="H131" s="154"/>
      <c r="J131" s="193"/>
      <c r="K131" s="193"/>
      <c r="L131" s="154"/>
      <c r="P131" s="154"/>
      <c r="Q131" s="154"/>
      <c r="R131" s="154"/>
      <c r="T131" s="154"/>
      <c r="V131" s="185"/>
      <c r="X131" s="154"/>
      <c r="Z131" s="154"/>
      <c r="AA131" s="154"/>
      <c r="AB131" s="154"/>
      <c r="AC131" s="154"/>
      <c r="AD131" s="154"/>
      <c r="AE131" s="154"/>
      <c r="AF131" s="154"/>
      <c r="AG131" s="154"/>
      <c r="AH131" s="154"/>
    </row>
    <row r="132" spans="3:34">
      <c r="C132" s="150"/>
      <c r="D132" s="193"/>
      <c r="E132" s="193"/>
      <c r="F132" s="193"/>
      <c r="G132" s="193"/>
      <c r="H132" s="154"/>
      <c r="J132" s="193"/>
      <c r="K132" s="193"/>
      <c r="R132" s="185"/>
      <c r="T132" s="154"/>
      <c r="V132" s="185"/>
      <c r="Z132" s="154"/>
      <c r="AA132" s="154"/>
      <c r="AB132" s="154"/>
      <c r="AC132" s="154"/>
      <c r="AD132" s="154"/>
    </row>
    <row r="133" spans="3:34">
      <c r="C133" s="150"/>
      <c r="D133" s="193"/>
      <c r="E133" s="154" t="s">
        <v>112</v>
      </c>
      <c r="F133" s="154"/>
      <c r="G133" s="154"/>
      <c r="H133" s="154"/>
      <c r="J133" s="193"/>
      <c r="K133" s="193"/>
      <c r="R133" s="185">
        <v>44545</v>
      </c>
      <c r="S133" s="150" t="s">
        <v>112</v>
      </c>
      <c r="T133" s="154">
        <v>24694295</v>
      </c>
      <c r="V133" s="185"/>
      <c r="Z133" s="154"/>
      <c r="AA133" s="154"/>
      <c r="AB133" s="154"/>
      <c r="AC133" s="154"/>
      <c r="AD133" s="154"/>
    </row>
    <row r="134" spans="3:34">
      <c r="C134" s="150"/>
      <c r="D134" s="193"/>
      <c r="E134" s="154"/>
      <c r="F134" s="154"/>
      <c r="G134" s="154"/>
      <c r="H134" s="154"/>
      <c r="J134" s="193"/>
      <c r="K134" s="193"/>
      <c r="R134" s="185">
        <v>44545</v>
      </c>
      <c r="T134" s="154"/>
      <c r="Z134" s="154"/>
      <c r="AA134" s="154"/>
      <c r="AB134" s="154"/>
      <c r="AC134" s="154"/>
      <c r="AD134" s="154"/>
    </row>
    <row r="135" spans="3:34">
      <c r="C135" s="150"/>
      <c r="D135" s="193"/>
      <c r="E135" s="154" t="s">
        <v>111</v>
      </c>
      <c r="F135" s="154"/>
      <c r="G135" s="154"/>
      <c r="H135" s="154"/>
      <c r="J135" s="193"/>
      <c r="K135" s="193"/>
      <c r="T135" s="154"/>
      <c r="Z135" s="154"/>
      <c r="AA135" s="154"/>
      <c r="AB135" s="154"/>
      <c r="AC135" s="154"/>
      <c r="AD135" s="154"/>
    </row>
    <row r="136" spans="3:34">
      <c r="C136" s="150"/>
      <c r="D136" s="193"/>
      <c r="E136" s="193"/>
      <c r="F136" s="193"/>
      <c r="G136" s="193"/>
      <c r="H136" s="154"/>
      <c r="R136" s="185"/>
    </row>
    <row r="137" spans="3:34">
      <c r="C137" s="150"/>
      <c r="D137" s="193"/>
      <c r="E137" s="154"/>
      <c r="F137" s="154"/>
      <c r="G137" s="154"/>
      <c r="H137" s="154"/>
      <c r="P137" s="154">
        <v>750000000</v>
      </c>
      <c r="Q137" s="154">
        <v>302157571</v>
      </c>
      <c r="R137" s="154">
        <v>586584565</v>
      </c>
      <c r="S137" s="154">
        <v>120380522</v>
      </c>
      <c r="T137" s="154">
        <v>238589291</v>
      </c>
      <c r="Z137" s="154"/>
      <c r="AA137" s="154"/>
      <c r="AB137" s="154"/>
      <c r="AC137" s="154"/>
      <c r="AD137" s="154"/>
    </row>
    <row r="138" spans="3:34">
      <c r="C138" s="150"/>
      <c r="D138" s="193"/>
      <c r="E138" s="193"/>
      <c r="F138" s="193"/>
      <c r="G138" s="193"/>
      <c r="H138" s="154"/>
      <c r="P138" s="154" t="e">
        <f ca="1">[3]!terbilang(P137)</f>
        <v>#NAME?</v>
      </c>
      <c r="Q138" s="154" t="e">
        <f ca="1">[3]!terbilang(Q137)</f>
        <v>#NAME?</v>
      </c>
      <c r="R138" s="154" t="e">
        <f ca="1">[3]!terbilang(R137)</f>
        <v>#NAME?</v>
      </c>
      <c r="S138" s="154" t="e">
        <f ca="1">[3]!terbilang(S137)</f>
        <v>#NAME?</v>
      </c>
      <c r="T138" s="154" t="e">
        <f ca="1">[3]!terbilang(T137)</f>
        <v>#NAME?</v>
      </c>
    </row>
    <row r="139" spans="3:34">
      <c r="C139" s="150"/>
      <c r="D139" s="193"/>
      <c r="E139" s="154"/>
      <c r="F139" s="154"/>
      <c r="G139" s="154"/>
      <c r="H139" s="154"/>
      <c r="P139" s="154">
        <v>2166057981</v>
      </c>
      <c r="Q139" s="154">
        <v>14043443</v>
      </c>
      <c r="R139" s="154">
        <v>1145868554</v>
      </c>
      <c r="S139" s="154">
        <v>1123645962</v>
      </c>
      <c r="T139" s="154"/>
      <c r="Z139" s="154"/>
      <c r="AA139" s="154"/>
      <c r="AB139" s="154"/>
      <c r="AC139" s="154"/>
      <c r="AD139" s="154"/>
    </row>
    <row r="140" spans="3:34">
      <c r="C140" s="150"/>
      <c r="D140" s="193"/>
      <c r="E140" s="154"/>
      <c r="F140" s="154"/>
      <c r="G140" s="154"/>
      <c r="H140" s="154"/>
      <c r="P140" s="154" t="e">
        <f ca="1">[3]!terbilang(P139)</f>
        <v>#NAME?</v>
      </c>
      <c r="Q140" s="154" t="e">
        <f ca="1">[3]!terbilang(Q139)</f>
        <v>#NAME?</v>
      </c>
      <c r="R140" s="154" t="e">
        <f ca="1">[3]!terbilang(R139)</f>
        <v>#NAME?</v>
      </c>
      <c r="S140" s="154" t="e">
        <f ca="1">[3]!terbilang(S139)</f>
        <v>#NAME?</v>
      </c>
      <c r="T140" s="154" t="e">
        <f ca="1">[3]!terbilang(T139)</f>
        <v>#NAME?</v>
      </c>
      <c r="AB140" s="154"/>
      <c r="AC140" s="154"/>
      <c r="AD140" s="154"/>
    </row>
    <row r="141" spans="3:34">
      <c r="C141" s="150"/>
      <c r="D141" s="193"/>
      <c r="E141" s="193"/>
      <c r="F141" s="193"/>
      <c r="G141" s="193"/>
      <c r="H141" s="154"/>
      <c r="P141" s="154"/>
      <c r="Q141" s="154"/>
      <c r="R141" s="154"/>
      <c r="S141" s="154"/>
      <c r="T141" s="154"/>
      <c r="Z141" s="154"/>
      <c r="AA141" s="154"/>
      <c r="AB141" s="154"/>
      <c r="AC141" s="154"/>
      <c r="AD141" s="154"/>
    </row>
    <row r="142" spans="3:34">
      <c r="C142" s="150"/>
      <c r="D142" s="154"/>
      <c r="E142" s="154"/>
      <c r="F142" s="154"/>
      <c r="G142" s="154"/>
      <c r="H142" s="154"/>
      <c r="P142" s="154"/>
      <c r="Q142" s="154"/>
      <c r="R142" s="154"/>
      <c r="S142" s="154"/>
      <c r="T142" s="154"/>
      <c r="Z142" s="154"/>
      <c r="AA142" s="154"/>
      <c r="AB142" s="154"/>
      <c r="AC142" s="154"/>
      <c r="AD142" s="154"/>
    </row>
    <row r="143" spans="3:34">
      <c r="C143" s="150"/>
      <c r="D143" s="154"/>
      <c r="E143" s="154"/>
      <c r="F143" s="154"/>
      <c r="G143" s="154"/>
      <c r="H143" s="154"/>
      <c r="P143" s="154"/>
      <c r="Q143" s="154"/>
      <c r="R143" s="154"/>
      <c r="S143" s="154"/>
      <c r="T143" s="154"/>
      <c r="Z143" s="154"/>
      <c r="AA143" s="154"/>
      <c r="AB143" s="154"/>
      <c r="AC143" s="154"/>
      <c r="AD143" s="154"/>
    </row>
    <row r="144" spans="3:34">
      <c r="C144" s="150"/>
      <c r="D144" s="193"/>
      <c r="E144" s="193"/>
      <c r="F144" s="193"/>
      <c r="G144" s="193"/>
      <c r="H144" s="154"/>
      <c r="U144" s="150">
        <v>2500000</v>
      </c>
      <c r="Z144" s="154"/>
      <c r="AA144" s="154"/>
      <c r="AB144" s="154"/>
      <c r="AC144" s="154"/>
      <c r="AD144" s="154">
        <v>1870843551</v>
      </c>
      <c r="AE144" s="154"/>
    </row>
    <row r="145" spans="3:31">
      <c r="C145" s="150"/>
      <c r="D145" s="154"/>
      <c r="E145" s="154"/>
      <c r="F145" s="154"/>
      <c r="G145" s="154"/>
      <c r="H145" s="154"/>
      <c r="J145" s="150"/>
      <c r="K145" s="150"/>
      <c r="AA145" s="154"/>
      <c r="AB145" s="154"/>
      <c r="AC145" s="154"/>
      <c r="AD145" s="154" t="e">
        <f ca="1">[3]!terbilang(AD144)</f>
        <v>#NAME?</v>
      </c>
      <c r="AE145" s="154"/>
    </row>
    <row r="146" spans="3:31">
      <c r="C146" s="150"/>
      <c r="D146" s="193"/>
      <c r="E146" s="193"/>
      <c r="F146" s="193"/>
      <c r="G146" s="193"/>
      <c r="J146" s="150"/>
      <c r="K146" s="150"/>
      <c r="AA146" s="154"/>
      <c r="AB146" s="154"/>
      <c r="AC146" s="154"/>
      <c r="AD146" s="154"/>
      <c r="AE146" s="154"/>
    </row>
    <row r="147" spans="3:31">
      <c r="C147" s="150"/>
      <c r="D147" s="154"/>
      <c r="E147" s="154"/>
      <c r="F147" s="154"/>
      <c r="G147" s="154"/>
      <c r="H147" s="154"/>
      <c r="J147" s="150"/>
      <c r="K147" s="150"/>
      <c r="AA147" s="154"/>
      <c r="AB147" s="154"/>
      <c r="AC147" s="154"/>
      <c r="AD147" s="154" t="e">
        <f ca="1">[3]!terbilang(AD146)</f>
        <v>#NAME?</v>
      </c>
      <c r="AE147" s="154"/>
    </row>
    <row r="148" spans="3:31">
      <c r="C148" s="150"/>
      <c r="D148" s="193"/>
      <c r="E148" s="193"/>
      <c r="F148" s="193"/>
      <c r="G148" s="193"/>
      <c r="H148" s="193"/>
      <c r="J148" s="150"/>
      <c r="K148" s="150"/>
      <c r="AA148" s="154"/>
      <c r="AB148" s="154"/>
      <c r="AC148" s="154"/>
      <c r="AD148" s="154"/>
      <c r="AE148" s="154"/>
    </row>
    <row r="149" spans="3:31">
      <c r="D149" s="193"/>
      <c r="E149" s="154"/>
      <c r="F149" s="154"/>
      <c r="G149" s="154"/>
      <c r="J149" s="150"/>
      <c r="K149" s="150"/>
      <c r="U149" s="150">
        <v>600</v>
      </c>
      <c r="V149" s="150">
        <f>600*12</f>
        <v>7200</v>
      </c>
    </row>
    <row r="150" spans="3:31">
      <c r="D150" s="193"/>
      <c r="E150" s="154"/>
      <c r="F150" s="154"/>
      <c r="G150" s="154"/>
      <c r="J150" s="150"/>
      <c r="K150" s="150"/>
    </row>
    <row r="151" spans="3:31">
      <c r="C151" s="150"/>
      <c r="D151" s="154"/>
      <c r="E151" s="154"/>
      <c r="F151" s="154"/>
      <c r="G151" s="154"/>
      <c r="J151" s="150"/>
      <c r="K151" s="150"/>
      <c r="X151" s="154"/>
      <c r="Y151" s="154"/>
      <c r="Z151" s="154"/>
      <c r="AA151" s="154"/>
      <c r="AB151" s="154"/>
      <c r="AC151" s="154"/>
    </row>
    <row r="152" spans="3:31">
      <c r="C152" s="150"/>
      <c r="D152" s="150"/>
      <c r="J152" s="150"/>
      <c r="K152" s="150"/>
      <c r="X152" s="154"/>
      <c r="Y152" s="154"/>
      <c r="Z152" s="154"/>
      <c r="AA152" s="154"/>
      <c r="AB152" s="154"/>
      <c r="AC152" s="154"/>
    </row>
    <row r="153" spans="3:31">
      <c r="C153" s="150"/>
      <c r="D153" s="154"/>
      <c r="E153" s="154"/>
      <c r="F153" s="154"/>
      <c r="G153" s="154"/>
      <c r="X153" s="154"/>
      <c r="Y153" s="154"/>
      <c r="Z153" s="154"/>
      <c r="AA153" s="154"/>
      <c r="AB153" s="154"/>
      <c r="AC153" s="154"/>
    </row>
    <row r="154" spans="3:31">
      <c r="C154" s="150"/>
      <c r="D154" s="193"/>
      <c r="E154" s="193"/>
      <c r="F154" s="193"/>
      <c r="G154" s="193"/>
      <c r="W154" s="154">
        <f>2500000*7200</f>
        <v>18000000000</v>
      </c>
      <c r="X154" s="154"/>
      <c r="Y154" s="154"/>
      <c r="Z154" s="154"/>
      <c r="AA154" s="154"/>
      <c r="AB154" s="154"/>
      <c r="AC154" s="154"/>
    </row>
    <row r="155" spans="3:31">
      <c r="C155" s="150"/>
      <c r="D155" s="150"/>
      <c r="J155" s="150"/>
      <c r="K155" s="150"/>
      <c r="X155" s="154"/>
      <c r="Y155" s="154"/>
      <c r="Z155" s="154"/>
      <c r="AA155" s="154"/>
      <c r="AB155" s="154"/>
      <c r="AC155" s="154"/>
    </row>
    <row r="156" spans="3:31">
      <c r="C156" s="150"/>
      <c r="D156" s="150"/>
      <c r="J156" s="150"/>
      <c r="K156" s="150"/>
      <c r="X156" s="154"/>
      <c r="Y156" s="154"/>
      <c r="Z156" s="154"/>
      <c r="AA156" s="154"/>
      <c r="AB156" s="154"/>
      <c r="AC156" s="154"/>
    </row>
    <row r="157" spans="3:31">
      <c r="C157" s="150"/>
      <c r="D157" s="150"/>
      <c r="E157" s="245">
        <f>C157+D157</f>
        <v>0</v>
      </c>
      <c r="F157" s="241">
        <v>151858375</v>
      </c>
      <c r="J157" s="150"/>
      <c r="K157" s="150"/>
      <c r="X157" s="154"/>
      <c r="Y157" s="154"/>
      <c r="Z157" s="154"/>
      <c r="AA157" s="154"/>
      <c r="AB157" s="154"/>
      <c r="AC157" s="154"/>
    </row>
    <row r="158" spans="3:31">
      <c r="C158" s="150"/>
      <c r="D158" s="150"/>
      <c r="E158" s="245">
        <f t="shared" ref="E158:E175" si="4">C158+D158</f>
        <v>0</v>
      </c>
      <c r="F158" s="241">
        <v>151858375</v>
      </c>
      <c r="J158" s="150"/>
      <c r="K158" s="150"/>
      <c r="X158" s="154"/>
      <c r="Y158" s="154"/>
      <c r="Z158" s="154"/>
      <c r="AA158" s="154"/>
      <c r="AB158" s="154"/>
      <c r="AC158" s="154"/>
    </row>
    <row r="159" spans="3:31">
      <c r="C159" s="150"/>
      <c r="D159" s="150"/>
      <c r="E159" s="245">
        <f t="shared" si="4"/>
        <v>0</v>
      </c>
      <c r="F159" s="241">
        <v>15635402</v>
      </c>
      <c r="J159" s="150"/>
      <c r="K159" s="150"/>
      <c r="X159" s="154"/>
      <c r="Y159" s="154"/>
      <c r="Z159" s="154"/>
      <c r="AA159" s="154"/>
      <c r="AB159" s="154"/>
      <c r="AC159" s="154"/>
    </row>
    <row r="160" spans="3:31">
      <c r="C160" s="150"/>
      <c r="D160" s="150"/>
      <c r="E160" s="245">
        <f t="shared" si="4"/>
        <v>0</v>
      </c>
      <c r="F160" s="241">
        <v>417819202</v>
      </c>
      <c r="J160" s="150"/>
      <c r="K160" s="150"/>
      <c r="X160" s="154"/>
      <c r="Y160" s="154"/>
      <c r="Z160" s="154"/>
      <c r="AA160" s="154"/>
      <c r="AB160" s="154"/>
      <c r="AC160" s="154"/>
    </row>
    <row r="161" spans="3:11">
      <c r="E161" s="245">
        <f t="shared" si="4"/>
        <v>0</v>
      </c>
      <c r="F161" s="241">
        <v>8266215</v>
      </c>
      <c r="J161" s="150"/>
      <c r="K161" s="150"/>
    </row>
    <row r="162" spans="3:11">
      <c r="E162" s="245">
        <f t="shared" si="4"/>
        <v>0</v>
      </c>
      <c r="F162" s="241">
        <v>8266215</v>
      </c>
      <c r="J162" s="150"/>
      <c r="K162" s="150"/>
    </row>
    <row r="163" spans="3:11">
      <c r="E163" s="245">
        <f t="shared" si="4"/>
        <v>0</v>
      </c>
      <c r="F163" s="242">
        <v>42795328</v>
      </c>
      <c r="J163" s="150"/>
      <c r="K163" s="150"/>
    </row>
    <row r="164" spans="3:11">
      <c r="C164" s="150"/>
      <c r="D164" s="150"/>
      <c r="E164" s="245">
        <f t="shared" si="4"/>
        <v>0</v>
      </c>
      <c r="F164" s="241">
        <v>26265232</v>
      </c>
      <c r="J164" s="150"/>
      <c r="K164" s="150"/>
    </row>
    <row r="165" spans="3:11">
      <c r="C165" s="150"/>
      <c r="D165" s="150"/>
      <c r="E165" s="245">
        <f t="shared" si="4"/>
        <v>0</v>
      </c>
      <c r="F165" s="242">
        <v>26265232</v>
      </c>
    </row>
    <row r="166" spans="3:11">
      <c r="C166" s="150"/>
      <c r="D166" s="150"/>
      <c r="E166" s="245">
        <f t="shared" si="4"/>
        <v>0</v>
      </c>
      <c r="F166" s="242">
        <v>199624868</v>
      </c>
    </row>
    <row r="167" spans="3:11">
      <c r="C167" s="150"/>
      <c r="D167" s="150"/>
      <c r="E167" s="245">
        <f t="shared" si="4"/>
        <v>0</v>
      </c>
      <c r="F167" s="241">
        <v>19684245</v>
      </c>
    </row>
    <row r="168" spans="3:11">
      <c r="C168" s="150"/>
      <c r="D168" s="150"/>
      <c r="E168" s="245">
        <f t="shared" si="4"/>
        <v>0</v>
      </c>
      <c r="F168" s="241">
        <v>77905425</v>
      </c>
      <c r="J168" s="150"/>
      <c r="K168" s="150"/>
    </row>
    <row r="169" spans="3:11">
      <c r="C169" s="150"/>
      <c r="D169" s="150"/>
      <c r="E169" s="245">
        <f t="shared" si="4"/>
        <v>0</v>
      </c>
      <c r="F169" s="241">
        <v>4441476</v>
      </c>
      <c r="J169" s="150"/>
      <c r="K169" s="150"/>
    </row>
    <row r="170" spans="3:11">
      <c r="C170" s="150"/>
      <c r="D170" s="150"/>
      <c r="E170" s="245">
        <f t="shared" si="4"/>
        <v>0</v>
      </c>
      <c r="F170" s="241">
        <v>4266433</v>
      </c>
      <c r="J170" s="150"/>
      <c r="K170" s="150"/>
    </row>
    <row r="171" spans="3:11">
      <c r="C171" s="150"/>
      <c r="D171" s="150"/>
      <c r="E171" s="245">
        <f t="shared" si="4"/>
        <v>0</v>
      </c>
      <c r="F171" s="241">
        <v>852429</v>
      </c>
      <c r="J171" s="150"/>
      <c r="K171" s="150"/>
    </row>
    <row r="172" spans="3:11">
      <c r="C172" s="150"/>
      <c r="D172" s="150"/>
      <c r="E172" s="245">
        <f t="shared" si="4"/>
        <v>0</v>
      </c>
      <c r="F172" s="241">
        <v>852429</v>
      </c>
      <c r="H172" s="154"/>
      <c r="J172" s="150"/>
      <c r="K172" s="150"/>
    </row>
    <row r="173" spans="3:11">
      <c r="C173" s="150"/>
      <c r="D173" s="150"/>
      <c r="E173" s="245">
        <f t="shared" si="4"/>
        <v>0</v>
      </c>
      <c r="F173" s="242">
        <v>112121856</v>
      </c>
      <c r="H173" s="154"/>
      <c r="J173" s="150"/>
      <c r="K173" s="150"/>
    </row>
    <row r="174" spans="3:11">
      <c r="C174" s="150"/>
      <c r="D174" s="150"/>
      <c r="E174" s="245">
        <f t="shared" si="4"/>
        <v>0</v>
      </c>
      <c r="F174" s="241">
        <v>95897725</v>
      </c>
      <c r="H174" s="154"/>
      <c r="J174" s="150"/>
      <c r="K174" s="150"/>
    </row>
    <row r="175" spans="3:11">
      <c r="C175" s="150"/>
      <c r="D175" s="150"/>
      <c r="E175" s="245">
        <f t="shared" si="4"/>
        <v>0</v>
      </c>
      <c r="F175" s="242">
        <v>611033945</v>
      </c>
      <c r="H175" s="154"/>
      <c r="J175" s="150"/>
      <c r="K175" s="150"/>
    </row>
    <row r="176" spans="3:11">
      <c r="C176" s="150"/>
      <c r="D176" s="150"/>
      <c r="F176" s="243"/>
      <c r="H176" s="154"/>
      <c r="J176" s="150"/>
      <c r="K176" s="150"/>
    </row>
    <row r="177" spans="3:11">
      <c r="H177" s="193" t="e">
        <f ca="1">[3]!terbilang(H176)</f>
        <v>#NAME?</v>
      </c>
      <c r="J177" s="150"/>
      <c r="K177" s="150"/>
    </row>
    <row r="178" spans="3:11">
      <c r="D178" s="193">
        <v>97846397</v>
      </c>
      <c r="E178" s="154">
        <v>2865371212</v>
      </c>
      <c r="F178" s="154">
        <v>89668307</v>
      </c>
      <c r="G178" s="154">
        <v>140646841</v>
      </c>
      <c r="H178" s="154"/>
      <c r="J178" s="150"/>
      <c r="K178" s="150"/>
    </row>
    <row r="179" spans="3:11">
      <c r="D179" s="193"/>
      <c r="E179" s="154"/>
      <c r="F179" s="154"/>
      <c r="G179" s="154"/>
      <c r="H179" s="154"/>
      <c r="J179" s="150"/>
      <c r="K179" s="150"/>
    </row>
    <row r="180" spans="3:11">
      <c r="D180" s="182" t="e">
        <f ca="1">[3]!terbilang(D178)</f>
        <v>#NAME?</v>
      </c>
      <c r="E180" s="193" t="e">
        <f ca="1">[3]!terbilang(E178)</f>
        <v>#NAME?</v>
      </c>
      <c r="F180" s="193" t="e">
        <f ca="1">[3]!terbilang(F178)</f>
        <v>#NAME?</v>
      </c>
      <c r="G180" s="193" t="e">
        <f ca="1">[3]!terbilang(G178)</f>
        <v>#NAME?</v>
      </c>
      <c r="H180" s="154"/>
      <c r="J180" s="150"/>
      <c r="K180" s="150"/>
    </row>
    <row r="181" spans="3:11">
      <c r="C181" s="150"/>
      <c r="D181" s="193"/>
      <c r="E181" s="154"/>
      <c r="F181" s="154"/>
      <c r="G181" s="154"/>
      <c r="H181" s="154"/>
      <c r="J181" s="150"/>
      <c r="K181" s="150"/>
    </row>
    <row r="182" spans="3:11">
      <c r="C182" s="150"/>
      <c r="D182" s="193">
        <v>14952300</v>
      </c>
      <c r="E182" s="154">
        <v>25686590</v>
      </c>
      <c r="F182" s="154">
        <v>12165006</v>
      </c>
      <c r="G182" s="154">
        <v>33728185</v>
      </c>
      <c r="H182" s="154"/>
      <c r="J182" s="150"/>
      <c r="K182" s="150"/>
    </row>
    <row r="183" spans="3:11">
      <c r="C183" s="150"/>
      <c r="D183" s="193" t="e">
        <f ca="1">[3]!terbilang(D182)</f>
        <v>#NAME?</v>
      </c>
      <c r="E183" s="193" t="e">
        <f ca="1">[3]!terbilang(E182)</f>
        <v>#NAME?</v>
      </c>
      <c r="F183" s="193" t="e">
        <f ca="1">[3]!terbilang(F182)</f>
        <v>#NAME?</v>
      </c>
      <c r="G183" s="193" t="e">
        <f ca="1">[3]!terbilang(G182)</f>
        <v>#NAME?</v>
      </c>
      <c r="H183" s="154"/>
      <c r="J183" s="150"/>
      <c r="K183" s="150"/>
    </row>
    <row r="184" spans="3:11">
      <c r="C184" s="150"/>
      <c r="D184" s="193"/>
      <c r="E184" s="193"/>
      <c r="F184" s="193"/>
      <c r="G184" s="193"/>
      <c r="H184" s="193" t="e">
        <f ca="1">[3]!terbilang(H182)</f>
        <v>#NAME?</v>
      </c>
      <c r="J184" s="150"/>
      <c r="K184" s="150"/>
    </row>
    <row r="185" spans="3:11">
      <c r="C185" s="150"/>
      <c r="D185" s="193">
        <v>48422213</v>
      </c>
      <c r="E185" s="154">
        <v>36753941</v>
      </c>
      <c r="F185" s="154">
        <v>31079686</v>
      </c>
      <c r="G185" s="154">
        <v>20004300</v>
      </c>
      <c r="H185" s="154"/>
      <c r="J185" s="150"/>
      <c r="K185" s="150"/>
    </row>
    <row r="186" spans="3:11">
      <c r="C186" s="150"/>
      <c r="D186" s="193"/>
      <c r="E186" s="154"/>
      <c r="F186" s="154"/>
      <c r="G186" s="154"/>
      <c r="H186" s="154"/>
      <c r="J186" s="150"/>
      <c r="K186" s="150"/>
    </row>
    <row r="187" spans="3:11">
      <c r="C187" s="150"/>
      <c r="D187" s="193" t="e">
        <f ca="1">[3]!terbilang(D185)</f>
        <v>#NAME?</v>
      </c>
      <c r="E187" s="193" t="e">
        <f ca="1">[3]!terbilang(E185)</f>
        <v>#NAME?</v>
      </c>
      <c r="F187" s="193" t="e">
        <f ca="1">[3]!terbilang(F185)</f>
        <v>#NAME?</v>
      </c>
      <c r="G187" s="193" t="e">
        <f ca="1">[3]!terbilang(G185)</f>
        <v>#NAME?</v>
      </c>
      <c r="H187" s="154"/>
      <c r="J187" s="150"/>
      <c r="K187" s="150"/>
    </row>
    <row r="188" spans="3:11">
      <c r="C188" s="150"/>
      <c r="D188" s="193">
        <v>59307925</v>
      </c>
      <c r="E188" s="154">
        <v>91714882</v>
      </c>
      <c r="F188" s="154">
        <v>50376375</v>
      </c>
      <c r="G188" s="154">
        <v>48653224</v>
      </c>
      <c r="H188" s="154"/>
      <c r="J188" s="150"/>
      <c r="K188" s="150"/>
    </row>
    <row r="189" spans="3:11">
      <c r="C189" s="150"/>
      <c r="D189" s="193"/>
      <c r="E189" s="154"/>
      <c r="F189" s="154"/>
      <c r="G189" s="154"/>
      <c r="H189" s="154"/>
      <c r="J189" s="150"/>
      <c r="K189" s="150"/>
    </row>
    <row r="190" spans="3:11">
      <c r="C190" s="150"/>
      <c r="D190" s="193" t="e">
        <f ca="1">[3]!terbilang(D188)</f>
        <v>#NAME?</v>
      </c>
      <c r="E190" s="193" t="e">
        <f ca="1">[3]!terbilang(E188)</f>
        <v>#NAME?</v>
      </c>
      <c r="F190" s="193" t="e">
        <f ca="1">[3]!terbilang(F188)</f>
        <v>#NAME?</v>
      </c>
      <c r="G190" s="193" t="e">
        <f ca="1">[3]!terbilang(G188)</f>
        <v>#NAME?</v>
      </c>
      <c r="J190" s="150"/>
      <c r="K190" s="150"/>
    </row>
    <row r="191" spans="3:11">
      <c r="C191" s="150"/>
      <c r="D191" s="193"/>
      <c r="E191" s="154"/>
      <c r="F191" s="154"/>
      <c r="G191" s="154"/>
      <c r="J191" s="150"/>
      <c r="K191" s="150"/>
    </row>
    <row r="192" spans="3:11">
      <c r="C192" s="150"/>
      <c r="D192" s="193"/>
      <c r="E192" s="154"/>
      <c r="F192" s="154"/>
      <c r="G192" s="154"/>
      <c r="J192" s="150"/>
      <c r="K192" s="150"/>
    </row>
    <row r="193" spans="3:11">
      <c r="C193" s="150"/>
      <c r="D193" s="193"/>
      <c r="E193" s="154"/>
      <c r="F193" s="154"/>
      <c r="G193" s="154"/>
      <c r="J193" s="150"/>
      <c r="K193" s="150"/>
    </row>
    <row r="194" spans="3:11">
      <c r="C194" s="150"/>
      <c r="D194" s="193"/>
      <c r="E194" s="154"/>
      <c r="F194" s="154"/>
      <c r="G194" s="154"/>
      <c r="J194" s="150"/>
      <c r="K194" s="150"/>
    </row>
    <row r="195" spans="3:11">
      <c r="C195" s="150"/>
      <c r="D195" s="193"/>
      <c r="E195" s="154" t="s">
        <v>108</v>
      </c>
      <c r="F195" s="154"/>
      <c r="G195" s="154"/>
      <c r="J195" s="150"/>
      <c r="K195" s="150"/>
    </row>
    <row r="197" spans="3:11">
      <c r="C197" s="150"/>
      <c r="D197" s="182" t="s">
        <v>112</v>
      </c>
      <c r="J197" s="150"/>
      <c r="K197" s="150"/>
    </row>
    <row r="198" spans="3:11">
      <c r="C198" s="150"/>
      <c r="E198" s="150" t="s">
        <v>111</v>
      </c>
      <c r="J198" s="150"/>
      <c r="K198" s="150"/>
    </row>
  </sheetData>
  <mergeCells count="17">
    <mergeCell ref="C4:AG4"/>
    <mergeCell ref="A84:B84"/>
    <mergeCell ref="AD91:AE91"/>
    <mergeCell ref="AF92:AG92"/>
    <mergeCell ref="F93:G93"/>
    <mergeCell ref="H93:I93"/>
    <mergeCell ref="J93:K93"/>
    <mergeCell ref="L93:M93"/>
    <mergeCell ref="P93:T93"/>
    <mergeCell ref="W98:X98"/>
    <mergeCell ref="P102:S102"/>
    <mergeCell ref="F94:G94"/>
    <mergeCell ref="H94:I94"/>
    <mergeCell ref="J94:K94"/>
    <mergeCell ref="L94:M94"/>
    <mergeCell ref="P94:T94"/>
    <mergeCell ref="W97:Z97"/>
  </mergeCells>
  <pageMargins left="0.7" right="0.7" top="0.75" bottom="0.75" header="0.3" footer="0.3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09"/>
  <sheetViews>
    <sheetView topLeftCell="U34" zoomScale="60" zoomScaleNormal="60" workbookViewId="0">
      <selection activeCell="AE54" sqref="AE54"/>
    </sheetView>
  </sheetViews>
  <sheetFormatPr defaultRowHeight="15.75"/>
  <cols>
    <col min="1" max="1" width="45.140625" style="150" customWidth="1"/>
    <col min="2" max="2" width="13.42578125" style="150" customWidth="1"/>
    <col min="3" max="3" width="19.85546875" style="182" customWidth="1"/>
    <col min="4" max="4" width="18.7109375" style="182" customWidth="1"/>
    <col min="5" max="5" width="21.28515625" style="150" customWidth="1"/>
    <col min="6" max="6" width="22.5703125" style="150" customWidth="1"/>
    <col min="7" max="7" width="18.42578125" style="150" customWidth="1"/>
    <col min="8" max="8" width="22.140625" style="150" customWidth="1"/>
    <col min="9" max="9" width="21.42578125" style="150" customWidth="1"/>
    <col min="10" max="10" width="22.140625" style="182" customWidth="1"/>
    <col min="11" max="11" width="21" style="182" customWidth="1"/>
    <col min="12" max="12" width="24.140625" style="150" customWidth="1"/>
    <col min="13" max="13" width="27.28515625" style="150" customWidth="1"/>
    <col min="14" max="14" width="19.42578125" style="150" customWidth="1"/>
    <col min="15" max="15" width="18.28515625" style="150" customWidth="1"/>
    <col min="16" max="16" width="19.85546875" style="150" customWidth="1"/>
    <col min="17" max="17" width="18.85546875" style="150" customWidth="1"/>
    <col min="18" max="18" width="20" style="150" customWidth="1"/>
    <col min="19" max="19" width="21.5703125" style="150" customWidth="1"/>
    <col min="20" max="20" width="23.28515625" style="150" customWidth="1"/>
    <col min="21" max="21" width="19.5703125" style="150" customWidth="1"/>
    <col min="22" max="22" width="19.42578125" style="150" customWidth="1"/>
    <col min="23" max="23" width="23" style="150" customWidth="1"/>
    <col min="24" max="25" width="20.7109375" style="150" customWidth="1"/>
    <col min="26" max="26" width="22.42578125" style="150" customWidth="1"/>
    <col min="27" max="27" width="21.7109375" style="150" customWidth="1"/>
    <col min="28" max="28" width="20.28515625" style="150" customWidth="1"/>
    <col min="29" max="29" width="18.5703125" style="150" customWidth="1"/>
    <col min="30" max="30" width="21.7109375" style="150" customWidth="1"/>
    <col min="31" max="31" width="25.28515625" style="150" customWidth="1"/>
    <col min="32" max="32" width="19" style="150" customWidth="1"/>
    <col min="33" max="34" width="21.7109375" style="150" customWidth="1"/>
    <col min="35" max="35" width="20.28515625" style="150" customWidth="1"/>
    <col min="36" max="36" width="18.140625" style="150" customWidth="1"/>
    <col min="37" max="37" width="12.85546875" style="150" customWidth="1"/>
    <col min="38" max="38" width="19.140625" style="150" customWidth="1"/>
    <col min="39" max="16384" width="9.140625" style="150"/>
  </cols>
  <sheetData>
    <row r="1" spans="1:36">
      <c r="A1" s="147" t="s">
        <v>0</v>
      </c>
      <c r="B1" s="148"/>
      <c r="C1" s="149"/>
      <c r="D1" s="149"/>
      <c r="E1" s="148"/>
      <c r="F1" s="148"/>
      <c r="G1" s="148"/>
      <c r="H1" s="148"/>
      <c r="I1" s="148"/>
      <c r="J1" s="149"/>
      <c r="K1" s="149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</row>
    <row r="2" spans="1:36" s="154" customFormat="1">
      <c r="A2" s="151" t="s">
        <v>1</v>
      </c>
      <c r="B2" s="152"/>
      <c r="C2" s="153"/>
      <c r="D2" s="153"/>
      <c r="E2" s="152"/>
      <c r="F2" s="152"/>
      <c r="G2" s="152"/>
      <c r="H2" s="152"/>
      <c r="I2" s="152"/>
      <c r="J2" s="153"/>
      <c r="K2" s="153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</row>
    <row r="3" spans="1:36">
      <c r="A3" s="155" t="s">
        <v>2</v>
      </c>
      <c r="B3" s="156">
        <v>44593</v>
      </c>
      <c r="C3" s="153"/>
      <c r="D3" s="153"/>
      <c r="E3" s="152"/>
      <c r="F3" s="152"/>
      <c r="G3" s="152"/>
      <c r="H3" s="152"/>
      <c r="I3" s="152"/>
      <c r="J3" s="153"/>
      <c r="K3" s="153"/>
      <c r="L3" s="152"/>
      <c r="M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</row>
    <row r="4" spans="1:36">
      <c r="A4" s="157" t="s">
        <v>3</v>
      </c>
      <c r="B4" s="158" t="s">
        <v>4</v>
      </c>
      <c r="C4" s="390" t="s">
        <v>5</v>
      </c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2"/>
      <c r="AH4" s="278"/>
      <c r="AI4" s="159" t="s">
        <v>6</v>
      </c>
      <c r="AJ4" s="154"/>
    </row>
    <row r="5" spans="1:36">
      <c r="A5" s="157"/>
      <c r="B5" s="158"/>
      <c r="C5" s="160">
        <v>32</v>
      </c>
      <c r="D5" s="160">
        <v>33</v>
      </c>
      <c r="E5" s="160">
        <v>34</v>
      </c>
      <c r="F5" s="160">
        <v>35</v>
      </c>
      <c r="G5" s="160">
        <v>36</v>
      </c>
      <c r="H5" s="160">
        <v>37</v>
      </c>
      <c r="I5" s="160">
        <v>38</v>
      </c>
      <c r="J5" s="160">
        <v>39</v>
      </c>
      <c r="K5" s="160">
        <v>40</v>
      </c>
      <c r="L5" s="160">
        <v>41</v>
      </c>
      <c r="M5" s="160">
        <v>42</v>
      </c>
      <c r="N5" s="160">
        <v>43</v>
      </c>
      <c r="O5" s="160">
        <v>44</v>
      </c>
      <c r="P5" s="160">
        <v>45</v>
      </c>
      <c r="Q5" s="160">
        <v>46</v>
      </c>
      <c r="R5" s="160">
        <v>47</v>
      </c>
      <c r="S5" s="160">
        <v>48</v>
      </c>
      <c r="T5" s="160">
        <v>49</v>
      </c>
      <c r="U5" s="160">
        <v>50</v>
      </c>
      <c r="V5" s="160">
        <v>51</v>
      </c>
      <c r="W5" s="160">
        <v>52</v>
      </c>
      <c r="X5" s="160">
        <v>53</v>
      </c>
      <c r="Y5" s="160">
        <v>54</v>
      </c>
      <c r="Z5" s="160">
        <v>55</v>
      </c>
      <c r="AA5" s="160">
        <v>56</v>
      </c>
      <c r="AB5" s="160">
        <v>57</v>
      </c>
      <c r="AC5" s="160">
        <v>58</v>
      </c>
      <c r="AD5" s="160">
        <v>59</v>
      </c>
      <c r="AE5" s="160">
        <v>60</v>
      </c>
      <c r="AF5" s="160">
        <v>61</v>
      </c>
      <c r="AG5" s="160">
        <v>62</v>
      </c>
      <c r="AH5" s="160"/>
      <c r="AI5" s="159"/>
      <c r="AJ5" s="154"/>
    </row>
    <row r="6" spans="1:36">
      <c r="A6" s="161" t="s">
        <v>7</v>
      </c>
      <c r="B6" s="162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8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3"/>
      <c r="AJ6" s="173"/>
    </row>
    <row r="7" spans="1:36">
      <c r="A7" s="258" t="s">
        <v>577</v>
      </c>
      <c r="B7" s="162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167"/>
      <c r="X7" s="167"/>
      <c r="Y7" s="167"/>
      <c r="Z7" s="167"/>
      <c r="AA7" s="167"/>
      <c r="AB7" s="273"/>
      <c r="AC7" s="273"/>
      <c r="AD7" s="281">
        <f>4800000000-1000346168</f>
        <v>3799653832</v>
      </c>
      <c r="AE7" s="273"/>
      <c r="AF7" s="273"/>
      <c r="AG7" s="273"/>
      <c r="AH7" s="273"/>
      <c r="AI7" s="163"/>
      <c r="AJ7" s="173"/>
    </row>
    <row r="8" spans="1:36">
      <c r="A8" s="258" t="s">
        <v>492</v>
      </c>
      <c r="B8" s="162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167"/>
      <c r="X8" s="273">
        <v>1000346168</v>
      </c>
      <c r="Y8" s="273"/>
      <c r="Z8" s="167"/>
      <c r="AA8" s="273"/>
      <c r="AB8" s="273"/>
      <c r="AC8" s="273"/>
      <c r="AD8" s="273"/>
      <c r="AE8" s="273"/>
      <c r="AF8" s="273"/>
      <c r="AG8" s="273"/>
      <c r="AH8" s="273"/>
      <c r="AI8" s="163"/>
      <c r="AJ8" s="173"/>
    </row>
    <row r="9" spans="1:36">
      <c r="A9" s="166" t="s">
        <v>356</v>
      </c>
      <c r="B9" s="191"/>
      <c r="C9" s="163"/>
      <c r="D9" s="163"/>
      <c r="E9" s="163"/>
      <c r="F9" s="163"/>
      <c r="G9" s="163"/>
      <c r="H9" s="239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5"/>
      <c r="AJ9" s="154"/>
    </row>
    <row r="10" spans="1:36">
      <c r="A10" s="166" t="s">
        <v>480</v>
      </c>
      <c r="B10" s="191"/>
      <c r="C10" s="273"/>
      <c r="D10" s="273"/>
      <c r="E10" s="273"/>
      <c r="F10" s="273"/>
      <c r="G10" s="273"/>
      <c r="H10" s="171"/>
      <c r="I10" s="171"/>
      <c r="J10" s="170"/>
      <c r="K10" s="171"/>
      <c r="L10" s="171"/>
      <c r="M10" s="171"/>
      <c r="N10" s="171"/>
      <c r="O10" s="171"/>
      <c r="P10" s="171"/>
      <c r="Q10" s="171"/>
      <c r="R10" s="273"/>
      <c r="S10" s="170"/>
      <c r="T10" s="273"/>
      <c r="U10" s="273"/>
      <c r="V10" s="273"/>
      <c r="W10" s="273"/>
      <c r="X10" s="273"/>
      <c r="Y10" s="273">
        <v>128348074</v>
      </c>
      <c r="Z10" s="273"/>
      <c r="AA10" s="273"/>
      <c r="AB10" s="273"/>
      <c r="AC10" s="273"/>
      <c r="AD10" s="273"/>
      <c r="AE10" s="273"/>
      <c r="AF10" s="273"/>
      <c r="AG10" s="273"/>
      <c r="AH10" s="273"/>
      <c r="AI10" s="165"/>
      <c r="AJ10" s="173"/>
    </row>
    <row r="11" spans="1:36">
      <c r="A11" s="166" t="s">
        <v>567</v>
      </c>
      <c r="B11" s="191"/>
      <c r="C11" s="273"/>
      <c r="D11" s="175"/>
      <c r="E11" s="175"/>
      <c r="F11" s="175"/>
      <c r="G11" s="273"/>
      <c r="H11" s="171"/>
      <c r="I11" s="175"/>
      <c r="J11" s="175"/>
      <c r="K11" s="175"/>
      <c r="L11" s="175"/>
      <c r="M11" s="175"/>
      <c r="N11" s="171"/>
      <c r="O11" s="171"/>
      <c r="P11" s="175"/>
      <c r="Q11" s="175"/>
      <c r="R11" s="273"/>
      <c r="S11" s="175"/>
      <c r="T11" s="175"/>
      <c r="U11" s="175"/>
      <c r="V11" s="171"/>
      <c r="W11" s="175"/>
      <c r="X11" s="175"/>
      <c r="Y11" s="175"/>
      <c r="Z11" s="273"/>
      <c r="AA11" s="175"/>
      <c r="AB11" s="175"/>
      <c r="AC11" s="273"/>
      <c r="AD11" s="175">
        <v>307623565</v>
      </c>
      <c r="AE11" s="175"/>
      <c r="AF11" s="273"/>
      <c r="AG11" s="273"/>
      <c r="AH11" s="273"/>
      <c r="AI11" s="165"/>
      <c r="AJ11" s="173"/>
    </row>
    <row r="12" spans="1:36">
      <c r="A12" s="166" t="s">
        <v>568</v>
      </c>
      <c r="B12" s="191"/>
      <c r="C12" s="273"/>
      <c r="D12" s="175"/>
      <c r="E12" s="175"/>
      <c r="F12" s="175"/>
      <c r="G12" s="273"/>
      <c r="H12" s="171"/>
      <c r="I12" s="175"/>
      <c r="J12" s="175"/>
      <c r="K12" s="175"/>
      <c r="L12" s="175"/>
      <c r="M12" s="175"/>
      <c r="N12" s="171"/>
      <c r="O12" s="171"/>
      <c r="P12" s="175"/>
      <c r="Q12" s="175"/>
      <c r="R12" s="273"/>
      <c r="S12" s="175"/>
      <c r="T12" s="175"/>
      <c r="U12" s="175"/>
      <c r="V12" s="171"/>
      <c r="W12" s="175"/>
      <c r="X12" s="175"/>
      <c r="Y12" s="175"/>
      <c r="Z12" s="273"/>
      <c r="AA12" s="175"/>
      <c r="AB12" s="175"/>
      <c r="AC12" s="273"/>
      <c r="AD12" s="175">
        <v>91484800</v>
      </c>
      <c r="AE12" s="175"/>
      <c r="AF12" s="273"/>
      <c r="AG12" s="273"/>
      <c r="AH12" s="273"/>
      <c r="AI12" s="165"/>
      <c r="AJ12" s="173"/>
    </row>
    <row r="13" spans="1:36">
      <c r="A13" s="166" t="s">
        <v>541</v>
      </c>
      <c r="B13" s="191"/>
      <c r="C13" s="273"/>
      <c r="D13" s="175"/>
      <c r="E13" s="175"/>
      <c r="F13" s="172">
        <v>256162500</v>
      </c>
      <c r="G13" s="273"/>
      <c r="H13" s="171"/>
      <c r="I13" s="170"/>
      <c r="J13" s="170"/>
      <c r="K13" s="171"/>
      <c r="L13" s="171"/>
      <c r="M13" s="171"/>
      <c r="N13" s="171"/>
      <c r="O13" s="171"/>
      <c r="P13" s="171"/>
      <c r="Q13" s="171"/>
      <c r="R13" s="273"/>
      <c r="S13" s="171"/>
      <c r="T13" s="171"/>
      <c r="U13" s="273"/>
      <c r="V13" s="171"/>
      <c r="W13" s="175"/>
      <c r="X13" s="175"/>
      <c r="Y13" s="175"/>
      <c r="Z13" s="273"/>
      <c r="AA13" s="175"/>
      <c r="AB13" s="175"/>
      <c r="AC13" s="273"/>
      <c r="AD13" s="175"/>
      <c r="AE13" s="175"/>
      <c r="AF13" s="273"/>
      <c r="AG13" s="273"/>
      <c r="AH13" s="273"/>
      <c r="AI13" s="165"/>
      <c r="AJ13" s="173"/>
    </row>
    <row r="14" spans="1:36">
      <c r="A14" s="166" t="s">
        <v>10</v>
      </c>
      <c r="B14" s="191"/>
      <c r="C14" s="273"/>
      <c r="D14" s="273"/>
      <c r="E14" s="273"/>
      <c r="F14" s="273"/>
      <c r="G14" s="273"/>
      <c r="H14" s="171"/>
      <c r="I14" s="273"/>
      <c r="J14" s="273"/>
      <c r="K14" s="171"/>
      <c r="L14" s="171"/>
      <c r="M14" s="171"/>
      <c r="N14" s="171"/>
      <c r="O14" s="171"/>
      <c r="P14" s="171"/>
      <c r="Q14" s="171"/>
      <c r="R14" s="171"/>
      <c r="S14" s="171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165"/>
      <c r="AJ14" s="173"/>
    </row>
    <row r="15" spans="1:36">
      <c r="A15" s="166" t="s">
        <v>205</v>
      </c>
      <c r="B15" s="19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5"/>
      <c r="X15" s="175"/>
      <c r="Y15" s="175"/>
      <c r="Z15" s="171"/>
      <c r="AA15" s="175"/>
      <c r="AB15" s="171"/>
      <c r="AC15" s="171"/>
      <c r="AD15" s="175">
        <v>21000000</v>
      </c>
      <c r="AE15" s="171"/>
      <c r="AF15" s="171"/>
      <c r="AG15" s="171"/>
      <c r="AH15" s="274"/>
      <c r="AI15" s="165"/>
      <c r="AJ15" s="234"/>
    </row>
    <row r="16" spans="1:36">
      <c r="A16" s="166" t="s">
        <v>206</v>
      </c>
      <c r="B16" s="19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5"/>
      <c r="X16" s="175"/>
      <c r="Y16" s="175"/>
      <c r="Z16" s="171"/>
      <c r="AA16" s="175"/>
      <c r="AB16" s="171"/>
      <c r="AC16" s="171"/>
      <c r="AD16" s="175">
        <v>14000000</v>
      </c>
      <c r="AE16" s="171"/>
      <c r="AF16" s="171"/>
      <c r="AG16" s="171"/>
      <c r="AH16" s="274"/>
      <c r="AI16" s="165"/>
      <c r="AJ16" s="234">
        <f>SUM(AI15:AI16)</f>
        <v>0</v>
      </c>
    </row>
    <row r="17" spans="1:36">
      <c r="A17" s="166" t="s">
        <v>578</v>
      </c>
      <c r="B17" s="19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5"/>
      <c r="X17" s="175"/>
      <c r="Y17" s="175"/>
      <c r="Z17" s="175"/>
      <c r="AA17" s="175"/>
      <c r="AB17" s="171"/>
      <c r="AC17" s="171"/>
      <c r="AD17" s="280">
        <f>1700000000-360845307</f>
        <v>1339154693</v>
      </c>
      <c r="AE17" s="171"/>
      <c r="AF17" s="171"/>
      <c r="AG17" s="171"/>
      <c r="AH17" s="171"/>
      <c r="AI17" s="165"/>
      <c r="AJ17" s="234"/>
    </row>
    <row r="18" spans="1:36">
      <c r="A18" s="166" t="s">
        <v>579</v>
      </c>
      <c r="B18" s="19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5"/>
      <c r="X18" s="171">
        <v>360845307</v>
      </c>
      <c r="Y18" s="171"/>
      <c r="Z18" s="175"/>
      <c r="AA18" s="171"/>
      <c r="AB18" s="171"/>
      <c r="AC18" s="171"/>
      <c r="AD18" s="171"/>
      <c r="AE18" s="171"/>
      <c r="AF18" s="171"/>
      <c r="AG18" s="171"/>
      <c r="AH18" s="171"/>
      <c r="AI18" s="165"/>
      <c r="AJ18" s="234"/>
    </row>
    <row r="19" spans="1:36">
      <c r="A19" s="166" t="s">
        <v>261</v>
      </c>
      <c r="B19" s="19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65"/>
      <c r="AJ19" s="234"/>
    </row>
    <row r="20" spans="1:36">
      <c r="A20" s="166" t="s">
        <v>537</v>
      </c>
      <c r="B20" s="191"/>
      <c r="C20" s="171"/>
      <c r="D20" s="175"/>
      <c r="E20" s="175"/>
      <c r="F20" s="175"/>
      <c r="G20" s="171"/>
      <c r="H20" s="171"/>
      <c r="I20" s="172">
        <v>535573737</v>
      </c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5"/>
      <c r="X20" s="175"/>
      <c r="Y20" s="175"/>
      <c r="Z20" s="171"/>
      <c r="AA20" s="175"/>
      <c r="AB20" s="175"/>
      <c r="AC20" s="171"/>
      <c r="AD20" s="175"/>
      <c r="AE20" s="175"/>
      <c r="AF20" s="171"/>
      <c r="AG20" s="171"/>
      <c r="AH20" s="169"/>
      <c r="AI20" s="165"/>
      <c r="AJ20" s="234"/>
    </row>
    <row r="21" spans="1:36">
      <c r="A21" s="166" t="s">
        <v>538</v>
      </c>
      <c r="B21" s="191"/>
      <c r="C21" s="171"/>
      <c r="D21" s="175"/>
      <c r="E21" s="175"/>
      <c r="F21" s="175"/>
      <c r="G21" s="171"/>
      <c r="H21" s="171"/>
      <c r="I21" s="175"/>
      <c r="J21" s="175"/>
      <c r="K21" s="175"/>
      <c r="L21" s="175"/>
      <c r="M21" s="175"/>
      <c r="N21" s="171"/>
      <c r="O21" s="171"/>
      <c r="P21" s="175"/>
      <c r="Q21" s="175"/>
      <c r="R21" s="172">
        <v>109088154</v>
      </c>
      <c r="S21" s="175"/>
      <c r="T21" s="171"/>
      <c r="U21" s="171"/>
      <c r="V21" s="171"/>
      <c r="W21" s="175"/>
      <c r="X21" s="175"/>
      <c r="Y21" s="175"/>
      <c r="Z21" s="171"/>
      <c r="AA21" s="175"/>
      <c r="AB21" s="175"/>
      <c r="AC21" s="171"/>
      <c r="AD21" s="175"/>
      <c r="AE21" s="175"/>
      <c r="AF21" s="171"/>
      <c r="AG21" s="171"/>
      <c r="AH21" s="169"/>
      <c r="AI21" s="165"/>
      <c r="AJ21" s="234"/>
    </row>
    <row r="22" spans="1:36">
      <c r="A22" s="166" t="s">
        <v>569</v>
      </c>
      <c r="B22" s="191"/>
      <c r="C22" s="171"/>
      <c r="D22" s="175"/>
      <c r="E22" s="175"/>
      <c r="F22" s="175"/>
      <c r="G22" s="171"/>
      <c r="H22" s="171"/>
      <c r="I22" s="175"/>
      <c r="J22" s="175"/>
      <c r="K22" s="175"/>
      <c r="L22" s="175"/>
      <c r="M22" s="175"/>
      <c r="N22" s="171"/>
      <c r="O22" s="171"/>
      <c r="P22" s="175"/>
      <c r="Q22" s="175"/>
      <c r="R22" s="172">
        <v>64539833</v>
      </c>
      <c r="S22" s="175"/>
      <c r="T22" s="171"/>
      <c r="U22" s="171"/>
      <c r="V22" s="171"/>
      <c r="W22" s="175"/>
      <c r="X22" s="175"/>
      <c r="Y22" s="175"/>
      <c r="Z22" s="171"/>
      <c r="AA22" s="175"/>
      <c r="AB22" s="175"/>
      <c r="AC22" s="171"/>
      <c r="AD22" s="175"/>
      <c r="AE22" s="175"/>
      <c r="AF22" s="171"/>
      <c r="AG22" s="171"/>
      <c r="AH22" s="169"/>
      <c r="AI22" s="165"/>
      <c r="AJ22" s="234"/>
    </row>
    <row r="23" spans="1:36">
      <c r="A23" s="166" t="s">
        <v>570</v>
      </c>
      <c r="B23" s="191"/>
      <c r="C23" s="171"/>
      <c r="D23" s="175"/>
      <c r="E23" s="175"/>
      <c r="F23" s="175"/>
      <c r="G23" s="171"/>
      <c r="H23" s="171"/>
      <c r="I23" s="175"/>
      <c r="J23" s="175"/>
      <c r="K23" s="175"/>
      <c r="L23" s="175"/>
      <c r="M23" s="175"/>
      <c r="N23" s="171"/>
      <c r="O23" s="171"/>
      <c r="P23" s="175"/>
      <c r="Q23" s="175"/>
      <c r="R23" s="172"/>
      <c r="S23" s="175"/>
      <c r="T23" s="171"/>
      <c r="U23" s="171"/>
      <c r="V23" s="171"/>
      <c r="W23" s="175"/>
      <c r="X23" s="175"/>
      <c r="Y23" s="175"/>
      <c r="Z23" s="171"/>
      <c r="AA23" s="175"/>
      <c r="AB23" s="175"/>
      <c r="AC23" s="171"/>
      <c r="AD23" s="175">
        <v>108520132</v>
      </c>
      <c r="AE23" s="175"/>
      <c r="AF23" s="171"/>
      <c r="AG23" s="171"/>
      <c r="AH23" s="169"/>
      <c r="AI23" s="165"/>
      <c r="AJ23" s="234"/>
    </row>
    <row r="24" spans="1:36">
      <c r="A24" s="166" t="s">
        <v>571</v>
      </c>
      <c r="B24" s="191"/>
      <c r="C24" s="171"/>
      <c r="D24" s="175"/>
      <c r="E24" s="175"/>
      <c r="F24" s="175"/>
      <c r="G24" s="171"/>
      <c r="H24" s="171"/>
      <c r="I24" s="175"/>
      <c r="J24" s="175"/>
      <c r="K24" s="175"/>
      <c r="L24" s="175"/>
      <c r="M24" s="175"/>
      <c r="N24" s="171"/>
      <c r="O24" s="171"/>
      <c r="P24" s="175"/>
      <c r="Q24" s="175"/>
      <c r="R24" s="172"/>
      <c r="S24" s="175"/>
      <c r="T24" s="171"/>
      <c r="U24" s="171"/>
      <c r="V24" s="171"/>
      <c r="W24" s="175"/>
      <c r="X24" s="175"/>
      <c r="Y24" s="175"/>
      <c r="Z24" s="171"/>
      <c r="AA24" s="175"/>
      <c r="AB24" s="175"/>
      <c r="AC24" s="171"/>
      <c r="AD24" s="175">
        <v>125070379</v>
      </c>
      <c r="AE24" s="175"/>
      <c r="AF24" s="171"/>
      <c r="AG24" s="171"/>
      <c r="AH24" s="169"/>
      <c r="AI24" s="165"/>
      <c r="AJ24" s="234"/>
    </row>
    <row r="25" spans="1:36">
      <c r="A25" s="166" t="s">
        <v>572</v>
      </c>
      <c r="B25" s="191"/>
      <c r="C25" s="171"/>
      <c r="D25" s="175"/>
      <c r="E25" s="175"/>
      <c r="F25" s="175"/>
      <c r="G25" s="171"/>
      <c r="H25" s="171"/>
      <c r="I25" s="175"/>
      <c r="J25" s="175"/>
      <c r="K25" s="175"/>
      <c r="L25" s="175"/>
      <c r="M25" s="175"/>
      <c r="N25" s="171"/>
      <c r="O25" s="171"/>
      <c r="P25" s="175"/>
      <c r="Q25" s="175"/>
      <c r="R25" s="172"/>
      <c r="S25" s="175"/>
      <c r="T25" s="171"/>
      <c r="U25" s="171"/>
      <c r="V25" s="171"/>
      <c r="W25" s="175"/>
      <c r="X25" s="175"/>
      <c r="Y25" s="175"/>
      <c r="Z25" s="171"/>
      <c r="AA25" s="175"/>
      <c r="AB25" s="175"/>
      <c r="AC25" s="171"/>
      <c r="AD25" s="175">
        <v>106583888</v>
      </c>
      <c r="AE25" s="175"/>
      <c r="AF25" s="171"/>
      <c r="AG25" s="171"/>
      <c r="AH25" s="169"/>
      <c r="AI25" s="165"/>
      <c r="AJ25" s="234"/>
    </row>
    <row r="26" spans="1:36">
      <c r="A26" s="166" t="s">
        <v>573</v>
      </c>
      <c r="B26" s="191"/>
      <c r="C26" s="171"/>
      <c r="D26" s="175"/>
      <c r="E26" s="175"/>
      <c r="F26" s="175"/>
      <c r="G26" s="171"/>
      <c r="H26" s="171"/>
      <c r="I26" s="175"/>
      <c r="J26" s="175"/>
      <c r="K26" s="175"/>
      <c r="L26" s="175"/>
      <c r="M26" s="175"/>
      <c r="N26" s="171"/>
      <c r="O26" s="171"/>
      <c r="P26" s="175"/>
      <c r="Q26" s="175"/>
      <c r="R26" s="172"/>
      <c r="S26" s="175"/>
      <c r="T26" s="171"/>
      <c r="U26" s="171"/>
      <c r="V26" s="171"/>
      <c r="W26" s="175"/>
      <c r="X26" s="175"/>
      <c r="Y26" s="175"/>
      <c r="Z26" s="171"/>
      <c r="AA26" s="175"/>
      <c r="AB26" s="175"/>
      <c r="AC26" s="171"/>
      <c r="AD26" s="175">
        <v>104744130</v>
      </c>
      <c r="AE26" s="175"/>
      <c r="AF26" s="171"/>
      <c r="AG26" s="171"/>
      <c r="AH26" s="169"/>
      <c r="AI26" s="165"/>
      <c r="AJ26" s="234"/>
    </row>
    <row r="27" spans="1:36">
      <c r="A27" s="166" t="s">
        <v>17</v>
      </c>
      <c r="B27" s="19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2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65"/>
      <c r="AJ27" s="234"/>
    </row>
    <row r="28" spans="1:36">
      <c r="A28" s="166" t="s">
        <v>18</v>
      </c>
      <c r="B28" s="191"/>
      <c r="C28" s="273"/>
      <c r="D28" s="273"/>
      <c r="E28" s="273"/>
      <c r="F28" s="273"/>
      <c r="G28" s="273"/>
      <c r="H28" s="171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165"/>
      <c r="AJ28" s="233"/>
    </row>
    <row r="29" spans="1:36">
      <c r="A29" s="166" t="s">
        <v>19</v>
      </c>
      <c r="B29" s="191"/>
      <c r="C29" s="273"/>
      <c r="D29" s="273"/>
      <c r="E29" s="273"/>
      <c r="F29" s="273"/>
      <c r="G29" s="273"/>
      <c r="H29" s="171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  <c r="AI29" s="165"/>
      <c r="AJ29" s="233"/>
    </row>
    <row r="30" spans="1:36">
      <c r="A30" s="166" t="s">
        <v>528</v>
      </c>
      <c r="B30" s="191"/>
      <c r="C30" s="273"/>
      <c r="D30" s="273"/>
      <c r="E30" s="273"/>
      <c r="F30" s="273"/>
      <c r="G30" s="273"/>
      <c r="H30" s="171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171"/>
      <c r="AC30" s="273"/>
      <c r="AD30" s="273"/>
      <c r="AE30" s="273"/>
      <c r="AF30" s="273"/>
      <c r="AG30" s="273"/>
      <c r="AH30" s="275"/>
      <c r="AI30" s="165"/>
      <c r="AJ30" s="233"/>
    </row>
    <row r="31" spans="1:36">
      <c r="A31" s="166" t="s">
        <v>530</v>
      </c>
      <c r="B31" s="191"/>
      <c r="C31" s="273"/>
      <c r="D31" s="273"/>
      <c r="E31" s="273"/>
      <c r="F31" s="273"/>
      <c r="G31" s="273"/>
      <c r="H31" s="171"/>
      <c r="I31" s="273"/>
      <c r="J31" s="273"/>
      <c r="K31" s="273"/>
      <c r="L31" s="273"/>
      <c r="M31" s="273"/>
      <c r="N31" s="273"/>
      <c r="O31" s="273"/>
      <c r="P31" s="273">
        <f>27221456-2632500</f>
        <v>24588956</v>
      </c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171"/>
      <c r="AC31" s="273"/>
      <c r="AD31" s="273"/>
      <c r="AE31" s="273"/>
      <c r="AF31" s="273"/>
      <c r="AG31" s="273"/>
      <c r="AH31" s="275"/>
      <c r="AI31" s="165"/>
      <c r="AJ31" s="233"/>
    </row>
    <row r="32" spans="1:36">
      <c r="A32" s="166" t="s">
        <v>43</v>
      </c>
      <c r="B32" s="191"/>
      <c r="C32" s="273"/>
      <c r="D32" s="273"/>
      <c r="E32" s="273"/>
      <c r="F32" s="171"/>
      <c r="G32" s="273"/>
      <c r="H32" s="171"/>
      <c r="I32" s="171"/>
      <c r="J32" s="273"/>
      <c r="K32" s="273"/>
      <c r="L32" s="171"/>
      <c r="M32" s="273"/>
      <c r="N32" s="273"/>
      <c r="O32" s="273"/>
      <c r="P32" s="273"/>
      <c r="Q32" s="273"/>
      <c r="R32" s="170"/>
      <c r="S32" s="273"/>
      <c r="T32" s="273"/>
      <c r="U32" s="171"/>
      <c r="V32" s="171"/>
      <c r="W32" s="273"/>
      <c r="X32" s="273"/>
      <c r="Y32" s="273"/>
      <c r="Z32" s="273"/>
      <c r="AA32" s="273"/>
      <c r="AB32" s="171"/>
      <c r="AC32" s="273"/>
      <c r="AD32" s="273"/>
      <c r="AE32" s="273"/>
      <c r="AF32" s="273"/>
      <c r="AG32" s="273"/>
      <c r="AH32" s="273"/>
      <c r="AI32" s="165"/>
      <c r="AJ32" s="233"/>
    </row>
    <row r="33" spans="1:38">
      <c r="A33" s="166" t="s">
        <v>318</v>
      </c>
      <c r="B33" s="191"/>
      <c r="C33" s="170"/>
      <c r="D33" s="170"/>
      <c r="E33" s="170"/>
      <c r="F33" s="171">
        <v>146438975</v>
      </c>
      <c r="G33" s="273"/>
      <c r="H33" s="171"/>
      <c r="I33" s="171"/>
      <c r="J33" s="170"/>
      <c r="K33" s="171">
        <f>153458340-66506089-17460000-65257941</f>
        <v>4234310</v>
      </c>
      <c r="L33" s="171"/>
      <c r="M33" s="170"/>
      <c r="N33" s="170"/>
      <c r="O33" s="273"/>
      <c r="P33" s="170"/>
      <c r="Q33" s="170"/>
      <c r="R33" s="273"/>
      <c r="S33" s="171"/>
      <c r="T33" s="170"/>
      <c r="U33" s="171"/>
      <c r="V33" s="171"/>
      <c r="W33" s="170"/>
      <c r="X33" s="170"/>
      <c r="Y33" s="170"/>
      <c r="Z33" s="170"/>
      <c r="AA33" s="170"/>
      <c r="AB33" s="171"/>
      <c r="AC33" s="170"/>
      <c r="AD33" s="170"/>
      <c r="AE33" s="170"/>
      <c r="AF33" s="170"/>
      <c r="AG33" s="170"/>
      <c r="AH33" s="170"/>
      <c r="AI33" s="165"/>
      <c r="AJ33" s="233"/>
    </row>
    <row r="34" spans="1:38">
      <c r="A34" s="166" t="s">
        <v>447</v>
      </c>
      <c r="B34" s="191"/>
      <c r="C34" s="170"/>
      <c r="D34" s="170"/>
      <c r="E34" s="170"/>
      <c r="F34" s="171"/>
      <c r="G34" s="273"/>
      <c r="H34" s="171"/>
      <c r="I34" s="171"/>
      <c r="J34" s="170"/>
      <c r="K34" s="170"/>
      <c r="L34" s="171"/>
      <c r="M34" s="170"/>
      <c r="N34" s="170"/>
      <c r="O34" s="273"/>
      <c r="P34" s="170"/>
      <c r="Q34" s="170"/>
      <c r="R34" s="273"/>
      <c r="S34" s="171"/>
      <c r="T34" s="170"/>
      <c r="U34" s="171"/>
      <c r="V34" s="171"/>
      <c r="W34" s="170"/>
      <c r="X34" s="170"/>
      <c r="Y34" s="170"/>
      <c r="Z34" s="170"/>
      <c r="AA34" s="170"/>
      <c r="AB34" s="171"/>
      <c r="AC34" s="170"/>
      <c r="AD34" s="170"/>
      <c r="AE34" s="170"/>
      <c r="AF34" s="170"/>
      <c r="AG34" s="170"/>
      <c r="AH34" s="170"/>
      <c r="AI34" s="165"/>
      <c r="AJ34" s="233"/>
    </row>
    <row r="35" spans="1:38">
      <c r="A35" s="166" t="s">
        <v>348</v>
      </c>
      <c r="B35" s="191"/>
      <c r="C35" s="273"/>
      <c r="D35" s="273"/>
      <c r="E35" s="273"/>
      <c r="F35" s="171"/>
      <c r="G35" s="171"/>
      <c r="H35" s="171"/>
      <c r="I35" s="171"/>
      <c r="J35" s="273"/>
      <c r="K35" s="273"/>
      <c r="L35" s="273"/>
      <c r="M35" s="273"/>
      <c r="N35" s="273"/>
      <c r="O35" s="170"/>
      <c r="P35" s="273">
        <f>301992534-74559794</f>
        <v>227432740</v>
      </c>
      <c r="Q35" s="273"/>
      <c r="R35" s="273"/>
      <c r="S35" s="171"/>
      <c r="T35" s="273"/>
      <c r="U35" s="171"/>
      <c r="V35" s="171"/>
      <c r="W35" s="273"/>
      <c r="X35" s="273"/>
      <c r="Y35" s="273"/>
      <c r="Z35" s="273"/>
      <c r="AA35" s="273"/>
      <c r="AB35" s="171"/>
      <c r="AC35" s="273"/>
      <c r="AD35" s="273"/>
      <c r="AE35" s="273"/>
      <c r="AF35" s="273"/>
      <c r="AG35" s="273"/>
      <c r="AH35" s="273"/>
      <c r="AI35" s="165"/>
      <c r="AJ35" s="235"/>
    </row>
    <row r="36" spans="1:38">
      <c r="A36" s="166" t="s">
        <v>354</v>
      </c>
      <c r="B36" s="191"/>
      <c r="C36" s="273"/>
      <c r="D36" s="273"/>
      <c r="E36" s="273"/>
      <c r="F36" s="273"/>
      <c r="G36" s="171"/>
      <c r="H36" s="171"/>
      <c r="I36" s="273"/>
      <c r="J36" s="273"/>
      <c r="K36" s="273"/>
      <c r="L36" s="273"/>
      <c r="M36" s="273"/>
      <c r="N36" s="273"/>
      <c r="O36" s="170"/>
      <c r="P36" s="273"/>
      <c r="Q36" s="273"/>
      <c r="R36" s="273"/>
      <c r="S36" s="171"/>
      <c r="T36" s="273">
        <v>4029912</v>
      </c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165"/>
      <c r="AJ36" s="235"/>
    </row>
    <row r="37" spans="1:38">
      <c r="A37" s="166" t="s">
        <v>350</v>
      </c>
      <c r="B37" s="191"/>
      <c r="C37" s="273"/>
      <c r="D37" s="273"/>
      <c r="E37" s="273">
        <v>48874723</v>
      </c>
      <c r="F37" s="273"/>
      <c r="G37" s="273"/>
      <c r="H37" s="171"/>
      <c r="I37" s="273"/>
      <c r="J37" s="273"/>
      <c r="K37" s="273">
        <f>184959401+18495941-27743910</f>
        <v>175711432</v>
      </c>
      <c r="L37" s="273"/>
      <c r="M37" s="273"/>
      <c r="N37" s="273"/>
      <c r="O37" s="170"/>
      <c r="P37" s="273"/>
      <c r="Q37" s="273"/>
      <c r="R37" s="170"/>
      <c r="S37" s="273"/>
      <c r="T37" s="273"/>
      <c r="U37" s="170"/>
      <c r="V37" s="170"/>
      <c r="W37" s="273"/>
      <c r="X37" s="273"/>
      <c r="Y37" s="273"/>
      <c r="Z37" s="273"/>
      <c r="AA37" s="273"/>
      <c r="AB37" s="170"/>
      <c r="AC37" s="273"/>
      <c r="AD37" s="273"/>
      <c r="AE37" s="273"/>
      <c r="AF37" s="273"/>
      <c r="AG37" s="273"/>
      <c r="AH37" s="273"/>
      <c r="AI37" s="165"/>
      <c r="AJ37" s="235"/>
    </row>
    <row r="38" spans="1:38">
      <c r="A38" s="166" t="s">
        <v>494</v>
      </c>
      <c r="B38" s="191"/>
      <c r="C38" s="273"/>
      <c r="D38" s="273"/>
      <c r="E38" s="273"/>
      <c r="F38" s="273"/>
      <c r="G38" s="273"/>
      <c r="H38" s="171"/>
      <c r="I38" s="273"/>
      <c r="J38" s="273"/>
      <c r="K38" s="273"/>
      <c r="L38" s="273"/>
      <c r="M38" s="273"/>
      <c r="N38" s="273"/>
      <c r="O38" s="170"/>
      <c r="P38" s="273"/>
      <c r="Q38" s="273"/>
      <c r="R38" s="170"/>
      <c r="S38" s="273"/>
      <c r="T38" s="273"/>
      <c r="U38" s="170"/>
      <c r="V38" s="170"/>
      <c r="W38" s="273"/>
      <c r="X38" s="273"/>
      <c r="Y38" s="273"/>
      <c r="Z38" s="273"/>
      <c r="AA38" s="273"/>
      <c r="AB38" s="170"/>
      <c r="AC38" s="273"/>
      <c r="AD38" s="273"/>
      <c r="AE38" s="273"/>
      <c r="AF38" s="273"/>
      <c r="AG38" s="273"/>
      <c r="AH38" s="273"/>
      <c r="AI38" s="165"/>
      <c r="AJ38" s="235"/>
    </row>
    <row r="39" spans="1:38">
      <c r="A39" s="166" t="s">
        <v>194</v>
      </c>
      <c r="B39" s="19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274"/>
      <c r="AI39" s="165"/>
      <c r="AJ39" s="234"/>
    </row>
    <row r="40" spans="1:38">
      <c r="A40" s="166" t="s">
        <v>192</v>
      </c>
      <c r="B40" s="19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274"/>
      <c r="AI40" s="165"/>
      <c r="AJ40" s="234">
        <f>SUM(AI39:AI40)</f>
        <v>0</v>
      </c>
    </row>
    <row r="41" spans="1:38">
      <c r="A41" s="166" t="s">
        <v>576</v>
      </c>
      <c r="B41" s="19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5"/>
      <c r="X41" s="175"/>
      <c r="Y41" s="175"/>
      <c r="Z41" s="171"/>
      <c r="AA41" s="175"/>
      <c r="AB41" s="171"/>
      <c r="AC41" s="171"/>
      <c r="AD41" s="175">
        <v>103374298</v>
      </c>
      <c r="AE41" s="171"/>
      <c r="AF41" s="171"/>
      <c r="AG41" s="171"/>
      <c r="AH41" s="274"/>
      <c r="AI41" s="165"/>
      <c r="AJ41" s="234"/>
      <c r="AK41" s="184"/>
      <c r="AL41" s="186">
        <f>6325269+60889034</f>
        <v>67214303</v>
      </c>
    </row>
    <row r="42" spans="1:38">
      <c r="A42" s="187" t="s">
        <v>327</v>
      </c>
      <c r="B42" s="19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5"/>
      <c r="X42" s="175"/>
      <c r="Y42" s="175"/>
      <c r="Z42" s="171"/>
      <c r="AA42" s="175"/>
      <c r="AB42" s="171"/>
      <c r="AC42" s="171"/>
      <c r="AD42" s="175">
        <v>61709422</v>
      </c>
      <c r="AE42" s="171"/>
      <c r="AF42" s="171"/>
      <c r="AG42" s="171"/>
      <c r="AH42" s="274"/>
      <c r="AI42" s="165"/>
      <c r="AJ42" s="234"/>
      <c r="AK42" s="184"/>
      <c r="AL42" s="186"/>
    </row>
    <row r="43" spans="1:38">
      <c r="A43" s="187" t="s">
        <v>328</v>
      </c>
      <c r="B43" s="19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5"/>
      <c r="X43" s="175"/>
      <c r="Y43" s="175"/>
      <c r="Z43" s="171"/>
      <c r="AA43" s="175"/>
      <c r="AB43" s="171"/>
      <c r="AC43" s="171"/>
      <c r="AD43" s="175">
        <v>349578345</v>
      </c>
      <c r="AE43" s="171"/>
      <c r="AF43" s="171"/>
      <c r="AG43" s="171"/>
      <c r="AH43" s="274"/>
      <c r="AI43" s="165"/>
      <c r="AJ43" s="234"/>
      <c r="AK43" s="184"/>
      <c r="AL43" s="185"/>
    </row>
    <row r="44" spans="1:38">
      <c r="A44" s="187" t="s">
        <v>330</v>
      </c>
      <c r="B44" s="19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5"/>
      <c r="X44" s="175"/>
      <c r="Y44" s="175"/>
      <c r="Z44" s="171"/>
      <c r="AA44" s="175"/>
      <c r="AB44" s="171"/>
      <c r="AC44" s="171"/>
      <c r="AD44" s="175">
        <v>416002400</v>
      </c>
      <c r="AE44" s="171"/>
      <c r="AF44" s="171"/>
      <c r="AG44" s="171"/>
      <c r="AH44" s="274"/>
      <c r="AI44" s="165"/>
      <c r="AJ44" s="234">
        <f>SUM(AI41:AI44)</f>
        <v>0</v>
      </c>
      <c r="AK44" s="184"/>
      <c r="AL44" s="185"/>
    </row>
    <row r="45" spans="1:38">
      <c r="A45" s="166" t="s">
        <v>24</v>
      </c>
      <c r="B45" s="191"/>
      <c r="C45" s="171"/>
      <c r="D45" s="171"/>
      <c r="E45" s="171"/>
      <c r="F45" s="171"/>
      <c r="G45" s="170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0"/>
      <c r="S45" s="171"/>
      <c r="T45" s="171"/>
      <c r="U45" s="170"/>
      <c r="V45" s="170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65"/>
      <c r="AJ45" s="235"/>
      <c r="AK45" s="189"/>
    </row>
    <row r="46" spans="1:38">
      <c r="A46" s="166" t="s">
        <v>529</v>
      </c>
      <c r="B46" s="191"/>
      <c r="C46" s="171"/>
      <c r="D46" s="175"/>
      <c r="E46" s="175"/>
      <c r="F46" s="175"/>
      <c r="G46" s="171"/>
      <c r="H46" s="171"/>
      <c r="I46" s="175"/>
      <c r="J46" s="175"/>
      <c r="K46" s="175"/>
      <c r="L46" s="175"/>
      <c r="M46" s="175"/>
      <c r="N46" s="171"/>
      <c r="O46" s="171"/>
      <c r="P46" s="175"/>
      <c r="Q46" s="175"/>
      <c r="R46" s="172">
        <v>866353302</v>
      </c>
      <c r="S46" s="175"/>
      <c r="T46" s="171"/>
      <c r="U46" s="171"/>
      <c r="V46" s="171"/>
      <c r="W46" s="175"/>
      <c r="X46" s="175"/>
      <c r="Y46" s="175"/>
      <c r="Z46" s="175"/>
      <c r="AA46" s="175"/>
      <c r="AB46" s="171"/>
      <c r="AC46" s="171"/>
      <c r="AD46" s="175"/>
      <c r="AE46" s="171"/>
      <c r="AF46" s="171"/>
      <c r="AG46" s="171"/>
      <c r="AH46" s="171"/>
      <c r="AI46" s="165"/>
      <c r="AJ46" s="234"/>
      <c r="AK46" s="189"/>
    </row>
    <row r="47" spans="1:38">
      <c r="A47" s="166" t="s">
        <v>574</v>
      </c>
      <c r="B47" s="191"/>
      <c r="C47" s="171"/>
      <c r="D47" s="175"/>
      <c r="E47" s="175"/>
      <c r="F47" s="175"/>
      <c r="G47" s="171"/>
      <c r="H47" s="171"/>
      <c r="I47" s="175"/>
      <c r="J47" s="175"/>
      <c r="K47" s="175"/>
      <c r="L47" s="175"/>
      <c r="M47" s="175"/>
      <c r="N47" s="171"/>
      <c r="O47" s="171"/>
      <c r="P47" s="175"/>
      <c r="Q47" s="175"/>
      <c r="R47" s="172"/>
      <c r="S47" s="175"/>
      <c r="T47" s="171"/>
      <c r="U47" s="171"/>
      <c r="V47" s="171"/>
      <c r="W47" s="175"/>
      <c r="X47" s="175"/>
      <c r="Y47" s="175"/>
      <c r="Z47" s="175"/>
      <c r="AA47" s="175"/>
      <c r="AB47" s="171"/>
      <c r="AC47" s="171"/>
      <c r="AD47" s="175">
        <v>332187701</v>
      </c>
      <c r="AE47" s="171"/>
      <c r="AF47" s="171"/>
      <c r="AG47" s="171"/>
      <c r="AH47" s="171"/>
      <c r="AI47" s="165"/>
      <c r="AJ47" s="234"/>
      <c r="AK47" s="189"/>
    </row>
    <row r="48" spans="1:38">
      <c r="A48" s="166" t="s">
        <v>575</v>
      </c>
      <c r="B48" s="191"/>
      <c r="C48" s="171"/>
      <c r="D48" s="175"/>
      <c r="E48" s="175"/>
      <c r="F48" s="175"/>
      <c r="G48" s="171"/>
      <c r="H48" s="171"/>
      <c r="I48" s="175"/>
      <c r="J48" s="175"/>
      <c r="K48" s="175"/>
      <c r="L48" s="175"/>
      <c r="M48" s="175"/>
      <c r="N48" s="171"/>
      <c r="O48" s="171"/>
      <c r="P48" s="175"/>
      <c r="Q48" s="175"/>
      <c r="R48" s="172"/>
      <c r="S48" s="175"/>
      <c r="T48" s="171"/>
      <c r="U48" s="171"/>
      <c r="V48" s="171"/>
      <c r="W48" s="175"/>
      <c r="X48" s="175"/>
      <c r="Y48" s="175"/>
      <c r="Z48" s="175"/>
      <c r="AA48" s="175"/>
      <c r="AB48" s="171"/>
      <c r="AC48" s="171"/>
      <c r="AD48" s="175">
        <v>84074919</v>
      </c>
      <c r="AE48" s="171"/>
      <c r="AF48" s="171"/>
      <c r="AG48" s="171"/>
      <c r="AH48" s="171"/>
      <c r="AI48" s="165"/>
      <c r="AJ48" s="234"/>
      <c r="AK48" s="189"/>
    </row>
    <row r="49" spans="1:37">
      <c r="A49" s="166" t="s">
        <v>493</v>
      </c>
      <c r="B49" s="19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>
        <v>42596380</v>
      </c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65"/>
      <c r="AJ49" s="234"/>
      <c r="AK49" s="189"/>
    </row>
    <row r="50" spans="1:37">
      <c r="A50" s="166" t="s">
        <v>333</v>
      </c>
      <c r="B50" s="191"/>
      <c r="C50" s="273"/>
      <c r="D50" s="167"/>
      <c r="E50" s="167"/>
      <c r="F50" s="167"/>
      <c r="G50" s="273"/>
      <c r="H50" s="171"/>
      <c r="I50" s="167"/>
      <c r="J50" s="167"/>
      <c r="K50" s="167"/>
      <c r="L50" s="167"/>
      <c r="M50" s="167"/>
      <c r="N50" s="273"/>
      <c r="O50" s="273"/>
      <c r="P50" s="167"/>
      <c r="Q50" s="167"/>
      <c r="R50" s="167"/>
      <c r="S50" s="167"/>
      <c r="T50" s="167"/>
      <c r="U50" s="167"/>
      <c r="V50" s="273"/>
      <c r="W50" s="167"/>
      <c r="X50" s="167"/>
      <c r="Y50" s="167"/>
      <c r="Z50" s="273"/>
      <c r="AA50" s="167"/>
      <c r="AB50" s="273"/>
      <c r="AC50" s="273"/>
      <c r="AD50" s="167">
        <v>61003007</v>
      </c>
      <c r="AE50" s="273"/>
      <c r="AF50" s="273"/>
      <c r="AG50" s="273"/>
      <c r="AH50" s="275"/>
      <c r="AI50" s="165"/>
      <c r="AJ50" s="233"/>
    </row>
    <row r="51" spans="1:37">
      <c r="A51" s="166" t="s">
        <v>539</v>
      </c>
      <c r="B51" s="191"/>
      <c r="C51" s="273"/>
      <c r="D51" s="167"/>
      <c r="E51" s="167"/>
      <c r="F51" s="167"/>
      <c r="G51" s="273"/>
      <c r="H51" s="171"/>
      <c r="I51" s="167"/>
      <c r="J51" s="167"/>
      <c r="K51" s="167"/>
      <c r="L51" s="167"/>
      <c r="M51" s="167"/>
      <c r="N51" s="273"/>
      <c r="O51" s="273"/>
      <c r="P51" s="167"/>
      <c r="Q51" s="167"/>
      <c r="R51" s="167"/>
      <c r="S51" s="167"/>
      <c r="T51" s="167"/>
      <c r="U51" s="167"/>
      <c r="V51" s="273"/>
      <c r="W51" s="167"/>
      <c r="X51" s="167"/>
      <c r="Y51" s="167"/>
      <c r="Z51" s="273"/>
      <c r="AA51" s="167"/>
      <c r="AB51" s="273"/>
      <c r="AC51" s="273"/>
      <c r="AD51" s="167">
        <f>127319117+12869993+149745116</f>
        <v>289934226</v>
      </c>
      <c r="AE51" s="273"/>
      <c r="AF51" s="273"/>
      <c r="AG51" s="273"/>
      <c r="AH51" s="275"/>
      <c r="AI51" s="165"/>
      <c r="AJ51" s="233"/>
    </row>
    <row r="52" spans="1:37">
      <c r="A52" s="166" t="s">
        <v>336</v>
      </c>
      <c r="B52" s="191"/>
      <c r="C52" s="273"/>
      <c r="D52" s="167"/>
      <c r="E52" s="167"/>
      <c r="F52" s="167"/>
      <c r="G52" s="273"/>
      <c r="H52" s="171"/>
      <c r="I52" s="167"/>
      <c r="J52" s="167"/>
      <c r="K52" s="167"/>
      <c r="L52" s="167"/>
      <c r="M52" s="167"/>
      <c r="N52" s="273"/>
      <c r="O52" s="273"/>
      <c r="P52" s="167"/>
      <c r="Q52" s="167"/>
      <c r="R52" s="167"/>
      <c r="S52" s="167"/>
      <c r="T52" s="167"/>
      <c r="U52" s="167"/>
      <c r="V52" s="273"/>
      <c r="W52" s="167"/>
      <c r="X52" s="167"/>
      <c r="Y52" s="167"/>
      <c r="Z52" s="273"/>
      <c r="AA52" s="167"/>
      <c r="AB52" s="273"/>
      <c r="AC52" s="273"/>
      <c r="AD52" s="167">
        <v>30744983</v>
      </c>
      <c r="AE52" s="273"/>
      <c r="AF52" s="273"/>
      <c r="AG52" s="273"/>
      <c r="AH52" s="275"/>
      <c r="AI52" s="165"/>
      <c r="AJ52" s="233">
        <f>SUM(AI50:AI52)</f>
        <v>0</v>
      </c>
    </row>
    <row r="53" spans="1:37">
      <c r="A53" s="166" t="s">
        <v>337</v>
      </c>
      <c r="B53" s="191"/>
      <c r="C53" s="273"/>
      <c r="D53" s="273"/>
      <c r="E53" s="273"/>
      <c r="F53" s="273">
        <f>112543200-12981042</f>
        <v>99562158</v>
      </c>
      <c r="G53" s="273"/>
      <c r="H53" s="171"/>
      <c r="I53" s="273"/>
      <c r="J53" s="273"/>
      <c r="K53" s="273"/>
      <c r="L53" s="273"/>
      <c r="M53" s="273">
        <v>174168540</v>
      </c>
      <c r="N53" s="273"/>
      <c r="O53" s="273"/>
      <c r="P53" s="273"/>
      <c r="Q53" s="273"/>
      <c r="R53" s="273"/>
      <c r="S53" s="273"/>
      <c r="T53" s="273"/>
      <c r="U53" s="273"/>
      <c r="V53" s="273"/>
      <c r="W53" s="167"/>
      <c r="X53" s="168">
        <v>133975800</v>
      </c>
      <c r="Y53" s="273"/>
      <c r="Z53" s="273"/>
      <c r="AA53" s="273">
        <f>180457200-3609144-40064604</f>
        <v>136783452</v>
      </c>
      <c r="AB53" s="273"/>
      <c r="AC53" s="273"/>
      <c r="AD53" s="273"/>
      <c r="AE53" s="273"/>
      <c r="AF53" s="273"/>
      <c r="AG53" s="273"/>
      <c r="AH53" s="273"/>
      <c r="AI53" s="165"/>
      <c r="AJ53" s="233"/>
    </row>
    <row r="54" spans="1:37">
      <c r="A54" s="166" t="s">
        <v>27</v>
      </c>
      <c r="B54" s="191"/>
      <c r="C54" s="273"/>
      <c r="D54" s="273"/>
      <c r="E54" s="273"/>
      <c r="F54" s="273"/>
      <c r="G54" s="171"/>
      <c r="H54" s="171"/>
      <c r="I54" s="273">
        <v>206460000</v>
      </c>
      <c r="J54" s="273"/>
      <c r="K54" s="273"/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  <c r="AA54" s="273">
        <f>96570000-9812705</f>
        <v>86757295</v>
      </c>
      <c r="AB54" s="273"/>
      <c r="AC54" s="273"/>
      <c r="AD54" s="273"/>
      <c r="AE54" s="273"/>
      <c r="AF54" s="273"/>
      <c r="AG54" s="273"/>
      <c r="AH54" s="273"/>
      <c r="AI54" s="165"/>
      <c r="AJ54" s="233"/>
    </row>
    <row r="55" spans="1:37">
      <c r="A55" s="187" t="s">
        <v>422</v>
      </c>
      <c r="B55" s="191"/>
      <c r="C55" s="273"/>
      <c r="D55" s="273"/>
      <c r="E55" s="273"/>
      <c r="F55" s="273"/>
      <c r="G55" s="273"/>
      <c r="H55" s="171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  <c r="AF55" s="273"/>
      <c r="AG55" s="273"/>
      <c r="AH55" s="273"/>
      <c r="AI55" s="165"/>
      <c r="AJ55" s="233"/>
    </row>
    <row r="56" spans="1:37">
      <c r="A56" s="187" t="s">
        <v>423</v>
      </c>
      <c r="B56" s="191"/>
      <c r="C56" s="273"/>
      <c r="D56" s="273"/>
      <c r="E56" s="273"/>
      <c r="F56" s="273"/>
      <c r="G56" s="273"/>
      <c r="H56" s="171"/>
      <c r="I56" s="273"/>
      <c r="J56" s="273"/>
      <c r="K56" s="273"/>
      <c r="L56" s="273"/>
      <c r="M56" s="273"/>
      <c r="N56" s="273"/>
      <c r="O56" s="273"/>
      <c r="P56" s="273"/>
      <c r="Q56" s="171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273"/>
      <c r="AC56" s="273"/>
      <c r="AD56" s="273"/>
      <c r="AE56" s="273"/>
      <c r="AF56" s="273"/>
      <c r="AG56" s="273"/>
      <c r="AH56" s="273"/>
      <c r="AI56" s="165"/>
      <c r="AJ56" s="233"/>
    </row>
    <row r="57" spans="1:37">
      <c r="A57" s="187" t="s">
        <v>424</v>
      </c>
      <c r="B57" s="191"/>
      <c r="C57" s="273"/>
      <c r="D57" s="273"/>
      <c r="E57" s="273"/>
      <c r="F57" s="273"/>
      <c r="G57" s="273"/>
      <c r="H57" s="171"/>
      <c r="I57" s="273"/>
      <c r="J57" s="273"/>
      <c r="K57" s="273"/>
      <c r="L57" s="171"/>
      <c r="M57" s="273"/>
      <c r="N57" s="273"/>
      <c r="O57" s="273"/>
      <c r="P57" s="273"/>
      <c r="Q57" s="171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165"/>
      <c r="AJ57" s="233"/>
    </row>
    <row r="58" spans="1:37">
      <c r="A58" s="166" t="s">
        <v>30</v>
      </c>
      <c r="B58" s="191"/>
      <c r="C58" s="170"/>
      <c r="D58" s="170"/>
      <c r="E58" s="170"/>
      <c r="F58" s="170"/>
      <c r="G58" s="170"/>
      <c r="H58" s="171"/>
      <c r="I58" s="171"/>
      <c r="J58" s="170"/>
      <c r="K58" s="170"/>
      <c r="L58" s="171"/>
      <c r="M58" s="170"/>
      <c r="N58" s="170"/>
      <c r="O58" s="170"/>
      <c r="P58" s="170"/>
      <c r="Q58" s="171"/>
      <c r="R58" s="170"/>
      <c r="S58" s="170"/>
      <c r="T58" s="170"/>
      <c r="U58" s="273"/>
      <c r="V58" s="273"/>
      <c r="W58" s="171"/>
      <c r="X58" s="171"/>
      <c r="Y58" s="273"/>
      <c r="Z58" s="171"/>
      <c r="AA58" s="273"/>
      <c r="AB58" s="273"/>
      <c r="AC58" s="273"/>
      <c r="AD58" s="273"/>
      <c r="AE58" s="273"/>
      <c r="AF58" s="273"/>
      <c r="AG58" s="170"/>
      <c r="AH58" s="170"/>
      <c r="AI58" s="165"/>
      <c r="AJ58" s="170"/>
    </row>
    <row r="59" spans="1:37">
      <c r="A59" s="166" t="s">
        <v>347</v>
      </c>
      <c r="B59" s="191"/>
      <c r="C59" s="170"/>
      <c r="D59" s="170"/>
      <c r="E59" s="170"/>
      <c r="F59" s="273"/>
      <c r="G59" s="170"/>
      <c r="H59" s="171"/>
      <c r="I59" s="171">
        <v>272159250</v>
      </c>
      <c r="J59" s="170"/>
      <c r="K59" s="170"/>
      <c r="L59" s="171"/>
      <c r="M59" s="170"/>
      <c r="N59" s="170"/>
      <c r="O59" s="170"/>
      <c r="P59" s="170"/>
      <c r="Q59" s="171">
        <v>90719750</v>
      </c>
      <c r="R59" s="170"/>
      <c r="S59" s="170"/>
      <c r="T59" s="170"/>
      <c r="U59" s="273"/>
      <c r="V59" s="273"/>
      <c r="W59" s="170"/>
      <c r="X59" s="170"/>
      <c r="Y59" s="273"/>
      <c r="Z59" s="273"/>
      <c r="AA59" s="273"/>
      <c r="AB59" s="273"/>
      <c r="AC59" s="273"/>
      <c r="AD59" s="273"/>
      <c r="AE59" s="273"/>
      <c r="AF59" s="273"/>
      <c r="AG59" s="170"/>
      <c r="AH59" s="170"/>
      <c r="AI59" s="165"/>
      <c r="AJ59" s="170"/>
    </row>
    <row r="60" spans="1:37">
      <c r="A60" s="192" t="s">
        <v>476</v>
      </c>
      <c r="B60" s="191"/>
      <c r="C60" s="273"/>
      <c r="D60" s="273"/>
      <c r="E60" s="273"/>
      <c r="F60" s="273"/>
      <c r="G60" s="171"/>
      <c r="H60" s="171"/>
      <c r="I60" s="171"/>
      <c r="J60" s="273"/>
      <c r="K60" s="273"/>
      <c r="L60" s="171"/>
      <c r="M60" s="273"/>
      <c r="N60" s="273"/>
      <c r="O60" s="273"/>
      <c r="P60" s="273"/>
      <c r="Q60" s="171"/>
      <c r="R60" s="170"/>
      <c r="S60" s="273"/>
      <c r="T60" s="273"/>
      <c r="U60" s="273"/>
      <c r="V60" s="273"/>
      <c r="W60" s="273"/>
      <c r="X60" s="273"/>
      <c r="Y60" s="273">
        <v>81211112</v>
      </c>
      <c r="Z60" s="273"/>
      <c r="AA60" s="273"/>
      <c r="AB60" s="273"/>
      <c r="AC60" s="273"/>
      <c r="AD60" s="273"/>
      <c r="AE60" s="273"/>
      <c r="AF60" s="273"/>
      <c r="AG60" s="273"/>
      <c r="AH60" s="273"/>
      <c r="AI60" s="165"/>
      <c r="AJ60" s="167"/>
    </row>
    <row r="61" spans="1:37">
      <c r="A61" s="192" t="s">
        <v>47</v>
      </c>
      <c r="B61" s="191"/>
      <c r="C61" s="273"/>
      <c r="D61" s="273"/>
      <c r="E61" s="273"/>
      <c r="F61" s="273"/>
      <c r="G61" s="273"/>
      <c r="H61" s="171"/>
      <c r="I61" s="171"/>
      <c r="J61" s="273"/>
      <c r="K61" s="273"/>
      <c r="L61" s="171"/>
      <c r="M61" s="273"/>
      <c r="N61" s="171"/>
      <c r="O61" s="171"/>
      <c r="P61" s="171"/>
      <c r="Q61" s="171"/>
      <c r="R61" s="170"/>
      <c r="S61" s="171"/>
      <c r="T61" s="171"/>
      <c r="U61" s="273"/>
      <c r="V61" s="273"/>
      <c r="W61" s="273"/>
      <c r="X61" s="273"/>
      <c r="Y61" s="273"/>
      <c r="Z61" s="273"/>
      <c r="AA61" s="273"/>
      <c r="AB61" s="273"/>
      <c r="AC61" s="273"/>
      <c r="AD61" s="273"/>
      <c r="AE61" s="273"/>
      <c r="AF61" s="273"/>
      <c r="AG61" s="273"/>
      <c r="AH61" s="273"/>
      <c r="AI61" s="165"/>
      <c r="AJ61" s="167"/>
    </row>
    <row r="62" spans="1:37">
      <c r="A62" s="192" t="s">
        <v>213</v>
      </c>
      <c r="B62" s="191"/>
      <c r="C62" s="273"/>
      <c r="D62" s="273"/>
      <c r="E62" s="273"/>
      <c r="F62" s="273"/>
      <c r="G62" s="273"/>
      <c r="H62" s="171"/>
      <c r="I62" s="273"/>
      <c r="J62" s="273"/>
      <c r="K62" s="273"/>
      <c r="L62" s="171"/>
      <c r="M62" s="273">
        <v>750000000</v>
      </c>
      <c r="N62" s="273"/>
      <c r="O62" s="273"/>
      <c r="P62" s="273"/>
      <c r="Q62" s="273"/>
      <c r="R62" s="171"/>
      <c r="S62" s="273"/>
      <c r="T62" s="273">
        <v>2000000000</v>
      </c>
      <c r="U62" s="171"/>
      <c r="V62" s="171"/>
      <c r="W62" s="273"/>
      <c r="X62" s="273"/>
      <c r="Y62" s="273"/>
      <c r="Z62" s="273"/>
      <c r="AA62" s="273">
        <v>1500000000</v>
      </c>
      <c r="AB62" s="273"/>
      <c r="AC62" s="273"/>
      <c r="AD62" s="273"/>
      <c r="AE62" s="273"/>
      <c r="AF62" s="273"/>
      <c r="AG62" s="273"/>
      <c r="AH62" s="273"/>
      <c r="AI62" s="165"/>
      <c r="AJ62" s="167"/>
    </row>
    <row r="63" spans="1:37">
      <c r="A63" s="192" t="s">
        <v>119</v>
      </c>
      <c r="B63" s="191"/>
      <c r="C63" s="171"/>
      <c r="D63" s="175"/>
      <c r="E63" s="175"/>
      <c r="F63" s="175"/>
      <c r="G63" s="171"/>
      <c r="H63" s="171"/>
      <c r="I63" s="175"/>
      <c r="J63" s="175"/>
      <c r="K63" s="175"/>
      <c r="L63" s="175"/>
      <c r="M63" s="175"/>
      <c r="N63" s="276"/>
      <c r="O63" s="276"/>
      <c r="P63" s="175"/>
      <c r="Q63" s="175"/>
      <c r="R63" s="175"/>
      <c r="S63" s="175"/>
      <c r="T63" s="175"/>
      <c r="U63" s="175"/>
      <c r="V63" s="276"/>
      <c r="W63" s="175"/>
      <c r="X63" s="175"/>
      <c r="Y63" s="175"/>
      <c r="Z63" s="171"/>
      <c r="AA63" s="175"/>
      <c r="AB63" s="175"/>
      <c r="AC63" s="171"/>
      <c r="AD63" s="175">
        <v>5000000000</v>
      </c>
      <c r="AE63" s="175"/>
      <c r="AF63" s="171"/>
      <c r="AG63" s="171"/>
      <c r="AH63" s="171"/>
      <c r="AI63" s="165"/>
      <c r="AJ63" s="175"/>
    </row>
    <row r="64" spans="1:37">
      <c r="A64" s="195" t="s">
        <v>32</v>
      </c>
      <c r="B64" s="196"/>
      <c r="C64" s="197">
        <f t="shared" ref="C64:AI64" si="0">SUM(C7:C63)</f>
        <v>0</v>
      </c>
      <c r="D64" s="197">
        <f t="shared" si="0"/>
        <v>0</v>
      </c>
      <c r="E64" s="197">
        <f t="shared" si="0"/>
        <v>48874723</v>
      </c>
      <c r="F64" s="197">
        <f t="shared" si="0"/>
        <v>502163633</v>
      </c>
      <c r="G64" s="197">
        <f t="shared" si="0"/>
        <v>0</v>
      </c>
      <c r="H64" s="197">
        <f t="shared" si="0"/>
        <v>0</v>
      </c>
      <c r="I64" s="197">
        <f t="shared" si="0"/>
        <v>1014192987</v>
      </c>
      <c r="J64" s="197">
        <f t="shared" si="0"/>
        <v>0</v>
      </c>
      <c r="K64" s="197">
        <f t="shared" si="0"/>
        <v>179945742</v>
      </c>
      <c r="L64" s="197">
        <f>SUM(L7:L63)</f>
        <v>0</v>
      </c>
      <c r="M64" s="197">
        <f t="shared" si="0"/>
        <v>924168540</v>
      </c>
      <c r="N64" s="197">
        <f t="shared" si="0"/>
        <v>0</v>
      </c>
      <c r="O64" s="197">
        <f t="shared" si="0"/>
        <v>0</v>
      </c>
      <c r="P64" s="197">
        <f>SUM(P7:P63)</f>
        <v>252021696</v>
      </c>
      <c r="Q64" s="197">
        <f t="shared" si="0"/>
        <v>90719750</v>
      </c>
      <c r="R64" s="197">
        <f t="shared" si="0"/>
        <v>1039981289</v>
      </c>
      <c r="S64" s="197">
        <f t="shared" si="0"/>
        <v>0</v>
      </c>
      <c r="T64" s="197">
        <f t="shared" si="0"/>
        <v>2046626292</v>
      </c>
      <c r="U64" s="197">
        <f t="shared" si="0"/>
        <v>0</v>
      </c>
      <c r="V64" s="197">
        <f t="shared" si="0"/>
        <v>0</v>
      </c>
      <c r="W64" s="197">
        <f t="shared" si="0"/>
        <v>0</v>
      </c>
      <c r="X64" s="197">
        <f>SUM(X7:X63)</f>
        <v>1495167275</v>
      </c>
      <c r="Y64" s="197">
        <f t="shared" si="0"/>
        <v>209559186</v>
      </c>
      <c r="Z64" s="197">
        <f t="shared" si="0"/>
        <v>0</v>
      </c>
      <c r="AA64" s="197">
        <f>SUM(AA7:AA63)</f>
        <v>1723540747</v>
      </c>
      <c r="AB64" s="197">
        <f t="shared" si="0"/>
        <v>0</v>
      </c>
      <c r="AC64" s="197">
        <f t="shared" si="0"/>
        <v>0</v>
      </c>
      <c r="AD64" s="197">
        <f t="shared" si="0"/>
        <v>12746444720</v>
      </c>
      <c r="AE64" s="197">
        <f t="shared" si="0"/>
        <v>0</v>
      </c>
      <c r="AF64" s="197">
        <f t="shared" si="0"/>
        <v>0</v>
      </c>
      <c r="AG64" s="197">
        <f t="shared" si="0"/>
        <v>0</v>
      </c>
      <c r="AH64" s="197">
        <f t="shared" si="0"/>
        <v>0</v>
      </c>
      <c r="AI64" s="197">
        <f t="shared" si="0"/>
        <v>0</v>
      </c>
    </row>
    <row r="65" spans="1:38">
      <c r="A65" s="199"/>
      <c r="B65" s="162"/>
      <c r="C65" s="200"/>
      <c r="D65" s="200"/>
      <c r="E65" s="165"/>
      <c r="F65" s="165"/>
      <c r="G65" s="165"/>
      <c r="H65" s="165"/>
      <c r="I65" s="165"/>
      <c r="J65" s="200"/>
      <c r="K65" s="200"/>
      <c r="L65" s="165"/>
      <c r="M65" s="165"/>
      <c r="N65" s="165"/>
      <c r="O65" s="200"/>
      <c r="P65" s="165"/>
      <c r="Q65" s="165"/>
      <c r="R65" s="165"/>
      <c r="S65" s="165"/>
      <c r="T65" s="165"/>
      <c r="U65" s="165"/>
      <c r="V65" s="165"/>
      <c r="W65" s="190">
        <v>0</v>
      </c>
      <c r="X65" s="190">
        <v>0</v>
      </c>
      <c r="Y65" s="190">
        <v>0</v>
      </c>
      <c r="Z65" s="190">
        <v>0</v>
      </c>
      <c r="AA65" s="190">
        <v>0</v>
      </c>
      <c r="AB65" s="190">
        <v>0</v>
      </c>
      <c r="AC65" s="165"/>
      <c r="AD65" s="165"/>
      <c r="AE65" s="165"/>
      <c r="AF65" s="165"/>
      <c r="AG65" s="165"/>
      <c r="AH65" s="165"/>
      <c r="AI65" s="201"/>
      <c r="AJ65" s="154"/>
    </row>
    <row r="66" spans="1:38">
      <c r="A66" s="202" t="s">
        <v>33</v>
      </c>
      <c r="B66" s="162"/>
      <c r="C66" s="200"/>
      <c r="D66" s="200"/>
      <c r="E66" s="165"/>
      <c r="F66" s="165"/>
      <c r="G66" s="200"/>
      <c r="H66" s="165"/>
      <c r="I66" s="165"/>
      <c r="J66" s="200"/>
      <c r="K66" s="200"/>
      <c r="L66" s="165"/>
      <c r="M66" s="165"/>
      <c r="N66" s="165"/>
      <c r="O66" s="200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200"/>
      <c r="AB66" s="200"/>
      <c r="AC66" s="165"/>
      <c r="AD66" s="165"/>
      <c r="AE66" s="165"/>
      <c r="AF66" s="165"/>
      <c r="AG66" s="165"/>
      <c r="AH66" s="165"/>
      <c r="AI66" s="201">
        <f t="shared" ref="AI66:AI91" si="1">SUM(B66:AG66)</f>
        <v>0</v>
      </c>
      <c r="AJ66" s="154"/>
    </row>
    <row r="67" spans="1:38">
      <c r="A67" s="203" t="s">
        <v>34</v>
      </c>
      <c r="B67" s="204"/>
      <c r="C67" s="205"/>
      <c r="D67" s="200"/>
      <c r="E67" s="200"/>
      <c r="F67" s="200"/>
      <c r="G67" s="200"/>
      <c r="H67" s="204"/>
      <c r="I67" s="200"/>
      <c r="J67" s="200"/>
      <c r="K67" s="200"/>
      <c r="L67" s="200"/>
      <c r="M67" s="200"/>
      <c r="N67" s="200"/>
      <c r="O67" s="205"/>
      <c r="P67" s="200"/>
      <c r="Q67" s="200"/>
      <c r="R67" s="200"/>
      <c r="S67" s="200"/>
      <c r="T67" s="200"/>
      <c r="U67" s="207"/>
      <c r="V67" s="200"/>
      <c r="W67" s="204"/>
      <c r="X67" s="200"/>
      <c r="Y67" s="200"/>
      <c r="Z67" s="200"/>
      <c r="AA67" s="200"/>
      <c r="AB67" s="200"/>
      <c r="AC67" s="204"/>
      <c r="AD67" s="200"/>
      <c r="AE67" s="200"/>
      <c r="AF67" s="200"/>
      <c r="AG67" s="200"/>
      <c r="AH67" s="204"/>
      <c r="AI67" s="201">
        <f t="shared" si="1"/>
        <v>0</v>
      </c>
      <c r="AJ67" s="173"/>
    </row>
    <row r="68" spans="1:38">
      <c r="A68" s="203" t="s">
        <v>34</v>
      </c>
      <c r="B68" s="204"/>
      <c r="C68" s="205"/>
      <c r="D68" s="200"/>
      <c r="E68" s="200"/>
      <c r="F68" s="200"/>
      <c r="G68" s="200"/>
      <c r="H68" s="204"/>
      <c r="I68" s="200"/>
      <c r="J68" s="200"/>
      <c r="K68" s="200"/>
      <c r="L68" s="200"/>
      <c r="M68" s="200"/>
      <c r="N68" s="200"/>
      <c r="O68" s="205"/>
      <c r="P68" s="200"/>
      <c r="Q68" s="200"/>
      <c r="R68" s="200"/>
      <c r="S68" s="200"/>
      <c r="T68" s="200"/>
      <c r="U68" s="207"/>
      <c r="V68" s="200"/>
      <c r="W68" s="190"/>
      <c r="X68" s="200"/>
      <c r="Y68" s="164"/>
      <c r="Z68" s="200"/>
      <c r="AA68" s="200"/>
      <c r="AB68" s="200"/>
      <c r="AC68" s="204"/>
      <c r="AD68" s="200"/>
      <c r="AE68" s="200"/>
      <c r="AF68" s="200"/>
      <c r="AG68" s="200"/>
      <c r="AH68" s="204"/>
      <c r="AI68" s="201"/>
      <c r="AJ68" s="173"/>
    </row>
    <row r="69" spans="1:38">
      <c r="A69" s="203" t="s">
        <v>198</v>
      </c>
      <c r="B69" s="204"/>
      <c r="C69" s="205"/>
      <c r="D69" s="200"/>
      <c r="E69" s="205"/>
      <c r="F69" s="200"/>
      <c r="G69" s="200"/>
      <c r="H69" s="204"/>
      <c r="I69" s="200"/>
      <c r="J69" s="200"/>
      <c r="K69" s="200"/>
      <c r="L69" s="200"/>
      <c r="M69" s="200"/>
      <c r="N69" s="200"/>
      <c r="O69" s="205"/>
      <c r="P69" s="200"/>
      <c r="Q69" s="200"/>
      <c r="R69" s="200"/>
      <c r="S69" s="200"/>
      <c r="T69" s="200"/>
      <c r="U69" s="207"/>
      <c r="V69" s="200"/>
      <c r="W69" s="190"/>
      <c r="X69" s="200"/>
      <c r="Y69" s="164"/>
      <c r="Z69" s="200"/>
      <c r="AA69" s="200"/>
      <c r="AB69" s="200"/>
      <c r="AC69" s="200"/>
      <c r="AD69" s="200"/>
      <c r="AE69" s="204"/>
      <c r="AF69" s="200"/>
      <c r="AG69" s="200"/>
      <c r="AH69" s="204"/>
      <c r="AI69" s="201">
        <f t="shared" si="1"/>
        <v>0</v>
      </c>
      <c r="AJ69" s="173"/>
    </row>
    <row r="70" spans="1:38">
      <c r="A70" s="203" t="s">
        <v>227</v>
      </c>
      <c r="B70" s="204"/>
      <c r="C70" s="205"/>
      <c r="D70" s="200"/>
      <c r="E70" s="205">
        <v>1088344082</v>
      </c>
      <c r="F70" s="200">
        <v>545324633</v>
      </c>
      <c r="G70" s="200"/>
      <c r="H70" s="200"/>
      <c r="I70" s="200"/>
      <c r="J70" s="200">
        <v>666854819</v>
      </c>
      <c r="K70" s="200"/>
      <c r="L70" s="200"/>
      <c r="M70" s="200">
        <v>924096446</v>
      </c>
      <c r="N70" s="200"/>
      <c r="O70" s="205"/>
      <c r="P70" s="200"/>
      <c r="Q70" s="200">
        <v>671797345</v>
      </c>
      <c r="R70" s="200"/>
      <c r="S70" s="200"/>
      <c r="T70" s="200">
        <v>3968504168</v>
      </c>
      <c r="U70" s="207"/>
      <c r="V70" s="200"/>
      <c r="W70" s="190"/>
      <c r="X70" s="190"/>
      <c r="Y70" s="190"/>
      <c r="Z70" s="200"/>
      <c r="AA70" s="164"/>
      <c r="AB70" s="200"/>
      <c r="AC70" s="200"/>
      <c r="AD70" s="282">
        <v>800215723</v>
      </c>
      <c r="AE70" s="207"/>
      <c r="AF70" s="200"/>
      <c r="AG70" s="200"/>
      <c r="AH70" s="204"/>
      <c r="AI70" s="201">
        <f t="shared" si="1"/>
        <v>8665137216</v>
      </c>
      <c r="AJ70" s="173"/>
    </row>
    <row r="71" spans="1:38">
      <c r="A71" s="203" t="s">
        <v>227</v>
      </c>
      <c r="B71" s="204"/>
      <c r="C71" s="205"/>
      <c r="D71" s="200"/>
      <c r="E71" s="205"/>
      <c r="F71" s="200"/>
      <c r="G71" s="200"/>
      <c r="H71" s="200"/>
      <c r="I71" s="200"/>
      <c r="J71" s="200"/>
      <c r="K71" s="200"/>
      <c r="L71" s="200"/>
      <c r="M71" s="200"/>
      <c r="N71" s="200"/>
      <c r="O71" s="205"/>
      <c r="P71" s="200"/>
      <c r="Q71" s="200"/>
      <c r="R71" s="200"/>
      <c r="S71" s="200"/>
      <c r="T71" s="200">
        <v>4897965577</v>
      </c>
      <c r="U71" s="207"/>
      <c r="V71" s="204"/>
      <c r="W71" s="164"/>
      <c r="X71" s="164"/>
      <c r="Y71" s="164"/>
      <c r="Z71" s="200"/>
      <c r="AA71" s="200"/>
      <c r="AB71" s="200"/>
      <c r="AC71" s="200"/>
      <c r="AD71" s="204"/>
      <c r="AE71" s="204"/>
      <c r="AF71" s="200"/>
      <c r="AG71" s="200"/>
      <c r="AH71" s="204"/>
      <c r="AI71" s="201">
        <f t="shared" si="1"/>
        <v>4897965577</v>
      </c>
      <c r="AJ71" s="173"/>
    </row>
    <row r="72" spans="1:38">
      <c r="A72" s="203" t="s">
        <v>227</v>
      </c>
      <c r="B72" s="204"/>
      <c r="C72" s="205"/>
      <c r="D72" s="200"/>
      <c r="E72" s="205"/>
      <c r="F72" s="200"/>
      <c r="G72" s="200"/>
      <c r="H72" s="200"/>
      <c r="I72" s="200"/>
      <c r="J72" s="200"/>
      <c r="K72" s="200"/>
      <c r="L72" s="200"/>
      <c r="M72" s="200"/>
      <c r="N72" s="200"/>
      <c r="O72" s="205"/>
      <c r="P72" s="200"/>
      <c r="Q72" s="200"/>
      <c r="R72" s="200"/>
      <c r="S72" s="200"/>
      <c r="T72" s="200"/>
      <c r="U72" s="207"/>
      <c r="V72" s="204"/>
      <c r="W72" s="164"/>
      <c r="X72" s="164"/>
      <c r="Y72" s="164"/>
      <c r="Z72" s="200"/>
      <c r="AA72" s="200"/>
      <c r="AB72" s="200"/>
      <c r="AC72" s="200"/>
      <c r="AD72" s="204"/>
      <c r="AE72" s="277"/>
      <c r="AF72" s="200"/>
      <c r="AG72" s="200"/>
      <c r="AH72" s="204"/>
      <c r="AI72" s="201">
        <f t="shared" si="1"/>
        <v>0</v>
      </c>
      <c r="AJ72" s="173"/>
    </row>
    <row r="73" spans="1:38">
      <c r="A73" s="203" t="s">
        <v>227</v>
      </c>
      <c r="B73" s="204"/>
      <c r="C73" s="205"/>
      <c r="D73" s="200"/>
      <c r="E73" s="205"/>
      <c r="F73" s="200"/>
      <c r="G73" s="200"/>
      <c r="H73" s="200"/>
      <c r="I73" s="200"/>
      <c r="J73" s="200"/>
      <c r="K73" s="200"/>
      <c r="L73" s="200"/>
      <c r="M73" s="200"/>
      <c r="N73" s="200"/>
      <c r="O73" s="205"/>
      <c r="P73" s="200"/>
      <c r="Q73" s="200"/>
      <c r="R73" s="200"/>
      <c r="S73" s="200"/>
      <c r="T73" s="200"/>
      <c r="U73" s="207"/>
      <c r="V73" s="204"/>
      <c r="W73" s="164"/>
      <c r="X73" s="164"/>
      <c r="Y73" s="164"/>
      <c r="Z73" s="200"/>
      <c r="AA73" s="200"/>
      <c r="AB73" s="200"/>
      <c r="AC73" s="200"/>
      <c r="AD73" s="204"/>
      <c r="AE73" s="277"/>
      <c r="AF73" s="200"/>
      <c r="AG73" s="200"/>
      <c r="AH73" s="204"/>
      <c r="AI73" s="201">
        <f t="shared" si="1"/>
        <v>0</v>
      </c>
      <c r="AJ73" s="173"/>
    </row>
    <row r="74" spans="1:38">
      <c r="A74" s="203" t="s">
        <v>199</v>
      </c>
      <c r="B74" s="204"/>
      <c r="C74" s="208"/>
      <c r="D74" s="164"/>
      <c r="E74" s="205">
        <v>6941217</v>
      </c>
      <c r="F74" s="200">
        <v>3229534</v>
      </c>
      <c r="G74" s="200"/>
      <c r="H74" s="164"/>
      <c r="I74" s="200"/>
      <c r="J74" s="164">
        <v>4046905</v>
      </c>
      <c r="K74" s="164"/>
      <c r="L74" s="200"/>
      <c r="M74" s="200">
        <v>5051727</v>
      </c>
      <c r="N74" s="200"/>
      <c r="O74" s="205"/>
      <c r="P74" s="200"/>
      <c r="Q74" s="176"/>
      <c r="R74" s="200"/>
      <c r="S74" s="200"/>
      <c r="T74" s="205">
        <v>53718394</v>
      </c>
      <c r="U74" s="207"/>
      <c r="V74" s="200"/>
      <c r="W74" s="164"/>
      <c r="X74" s="164"/>
      <c r="Y74" s="164"/>
      <c r="Z74" s="200"/>
      <c r="AA74" s="200"/>
      <c r="AB74" s="164"/>
      <c r="AC74" s="200"/>
      <c r="AD74" s="180"/>
      <c r="AE74" s="207"/>
      <c r="AF74" s="205"/>
      <c r="AG74" s="200"/>
      <c r="AH74" s="204"/>
      <c r="AI74" s="201">
        <f t="shared" si="1"/>
        <v>72987777</v>
      </c>
      <c r="AJ74" s="173"/>
      <c r="AL74" s="150" t="s">
        <v>253</v>
      </c>
    </row>
    <row r="75" spans="1:38">
      <c r="A75" s="203" t="s">
        <v>228</v>
      </c>
      <c r="B75" s="204"/>
      <c r="C75" s="205"/>
      <c r="D75" s="205"/>
      <c r="E75" s="205"/>
      <c r="F75" s="200"/>
      <c r="G75" s="200"/>
      <c r="H75" s="200"/>
      <c r="I75" s="200"/>
      <c r="J75" s="200"/>
      <c r="K75" s="200"/>
      <c r="L75" s="210"/>
      <c r="M75" s="200"/>
      <c r="N75" s="200"/>
      <c r="O75" s="205"/>
      <c r="P75" s="205"/>
      <c r="Q75" s="200"/>
      <c r="R75" s="200"/>
      <c r="S75" s="200"/>
      <c r="T75" s="205">
        <v>2999671547</v>
      </c>
      <c r="U75" s="209"/>
      <c r="V75" s="204"/>
      <c r="W75" s="164"/>
      <c r="X75" s="164"/>
      <c r="Y75" s="164"/>
      <c r="Z75" s="200"/>
      <c r="AA75" s="200"/>
      <c r="AB75" s="200"/>
      <c r="AC75" s="200"/>
      <c r="AD75" s="204"/>
      <c r="AE75" s="200"/>
      <c r="AF75" s="205"/>
      <c r="AG75" s="200"/>
      <c r="AH75" s="204"/>
      <c r="AI75" s="201">
        <f t="shared" si="1"/>
        <v>2999671547</v>
      </c>
      <c r="AJ75" s="173"/>
    </row>
    <row r="76" spans="1:38">
      <c r="A76" s="203" t="s">
        <v>200</v>
      </c>
      <c r="B76" s="204"/>
      <c r="C76" s="205"/>
      <c r="D76" s="205"/>
      <c r="E76" s="205"/>
      <c r="F76" s="200"/>
      <c r="G76" s="200"/>
      <c r="H76" s="200"/>
      <c r="I76" s="200"/>
      <c r="J76" s="200"/>
      <c r="K76" s="200"/>
      <c r="L76" s="210"/>
      <c r="M76" s="200"/>
      <c r="N76" s="200"/>
      <c r="O76" s="205"/>
      <c r="P76" s="205"/>
      <c r="Q76" s="200"/>
      <c r="R76" s="200"/>
      <c r="S76" s="200"/>
      <c r="T76" s="205">
        <v>16617686</v>
      </c>
      <c r="U76" s="205"/>
      <c r="V76" s="204"/>
      <c r="W76" s="164"/>
      <c r="X76" s="164"/>
      <c r="Y76" s="164"/>
      <c r="Z76" s="200"/>
      <c r="AA76" s="200"/>
      <c r="AB76" s="200"/>
      <c r="AC76" s="200"/>
      <c r="AD76" s="204"/>
      <c r="AE76" s="200"/>
      <c r="AF76" s="205"/>
      <c r="AG76" s="200"/>
      <c r="AH76" s="204"/>
      <c r="AI76" s="201">
        <f t="shared" si="1"/>
        <v>16617686</v>
      </c>
      <c r="AJ76" s="173"/>
    </row>
    <row r="77" spans="1:38">
      <c r="A77" s="203" t="s">
        <v>36</v>
      </c>
      <c r="B77" s="204"/>
      <c r="C77" s="205"/>
      <c r="D77" s="205"/>
      <c r="E77" s="205">
        <v>1513363859</v>
      </c>
      <c r="F77" s="200">
        <v>2815036171</v>
      </c>
      <c r="G77" s="200"/>
      <c r="H77" s="204"/>
      <c r="I77" s="200"/>
      <c r="J77" s="200">
        <v>3396530146</v>
      </c>
      <c r="K77" s="200"/>
      <c r="L77" s="210">
        <v>2975033612</v>
      </c>
      <c r="M77" s="200">
        <v>3033549174</v>
      </c>
      <c r="N77" s="200"/>
      <c r="O77" s="205"/>
      <c r="P77" s="205"/>
      <c r="Q77" s="200">
        <v>1410562999</v>
      </c>
      <c r="R77" s="200"/>
      <c r="S77" s="200"/>
      <c r="T77" s="205"/>
      <c r="U77" s="205"/>
      <c r="V77" s="204"/>
      <c r="W77" s="190"/>
      <c r="X77" s="190"/>
      <c r="Y77" s="164"/>
      <c r="Z77" s="200"/>
      <c r="AA77" s="200">
        <v>4790908349</v>
      </c>
      <c r="AB77" s="200"/>
      <c r="AC77" s="200"/>
      <c r="AD77" s="204"/>
      <c r="AE77" s="200"/>
      <c r="AF77" s="205"/>
      <c r="AG77" s="200"/>
      <c r="AH77" s="204"/>
      <c r="AI77" s="201">
        <f t="shared" si="1"/>
        <v>19934984310</v>
      </c>
      <c r="AJ77" s="173"/>
    </row>
    <row r="78" spans="1:38">
      <c r="A78" s="203" t="s">
        <v>36</v>
      </c>
      <c r="B78" s="204"/>
      <c r="C78" s="205"/>
      <c r="D78" s="205"/>
      <c r="E78" s="205"/>
      <c r="F78" s="200"/>
      <c r="G78" s="200"/>
      <c r="H78" s="204"/>
      <c r="I78" s="200"/>
      <c r="J78" s="200">
        <v>1953978009</v>
      </c>
      <c r="K78" s="200"/>
      <c r="L78" s="210">
        <v>3162732964</v>
      </c>
      <c r="M78" s="200"/>
      <c r="N78" s="200"/>
      <c r="O78" s="205"/>
      <c r="P78" s="205"/>
      <c r="Q78" s="200"/>
      <c r="R78" s="200"/>
      <c r="S78" s="200"/>
      <c r="T78" s="205"/>
      <c r="U78" s="205"/>
      <c r="V78" s="204"/>
      <c r="W78" s="164"/>
      <c r="X78" s="164"/>
      <c r="Y78" s="164"/>
      <c r="Z78" s="200"/>
      <c r="AA78" s="200"/>
      <c r="AB78" s="200"/>
      <c r="AC78" s="200"/>
      <c r="AD78" s="204"/>
      <c r="AE78" s="200"/>
      <c r="AF78" s="205"/>
      <c r="AG78" s="200"/>
      <c r="AH78" s="204"/>
      <c r="AI78" s="201"/>
      <c r="AJ78" s="173"/>
    </row>
    <row r="79" spans="1:38">
      <c r="A79" s="203" t="s">
        <v>36</v>
      </c>
      <c r="B79" s="204"/>
      <c r="C79" s="205"/>
      <c r="D79" s="205"/>
      <c r="E79" s="205"/>
      <c r="F79" s="200"/>
      <c r="G79" s="200"/>
      <c r="H79" s="204"/>
      <c r="I79" s="200"/>
      <c r="J79" s="200"/>
      <c r="K79" s="200"/>
      <c r="L79" s="210"/>
      <c r="M79" s="200"/>
      <c r="N79" s="200"/>
      <c r="O79" s="205"/>
      <c r="P79" s="205"/>
      <c r="Q79" s="200"/>
      <c r="R79" s="200"/>
      <c r="S79" s="200"/>
      <c r="T79" s="205"/>
      <c r="U79" s="205"/>
      <c r="V79" s="204"/>
      <c r="W79" s="164"/>
      <c r="X79" s="164"/>
      <c r="Y79" s="164"/>
      <c r="Z79" s="200"/>
      <c r="AA79" s="200"/>
      <c r="AB79" s="200"/>
      <c r="AC79" s="200"/>
      <c r="AD79" s="204"/>
      <c r="AE79" s="200"/>
      <c r="AF79" s="205"/>
      <c r="AG79" s="200"/>
      <c r="AH79" s="204"/>
      <c r="AI79" s="201"/>
      <c r="AJ79" s="173"/>
    </row>
    <row r="80" spans="1:38">
      <c r="A80" s="203" t="s">
        <v>242</v>
      </c>
      <c r="B80" s="204"/>
      <c r="C80" s="205"/>
      <c r="D80" s="205"/>
      <c r="E80" s="205">
        <v>10005017</v>
      </c>
      <c r="F80" s="200">
        <v>17281194</v>
      </c>
      <c r="G80" s="200"/>
      <c r="H80" s="204"/>
      <c r="I80" s="200"/>
      <c r="J80" s="200">
        <v>34450092</v>
      </c>
      <c r="K80" s="200"/>
      <c r="L80" s="210">
        <v>36229872</v>
      </c>
      <c r="M80" s="200">
        <v>17190112</v>
      </c>
      <c r="N80" s="200"/>
      <c r="O80" s="205"/>
      <c r="P80" s="205"/>
      <c r="Q80" s="200"/>
      <c r="R80" s="200"/>
      <c r="S80" s="200"/>
      <c r="T80" s="205"/>
      <c r="U80" s="205"/>
      <c r="V80" s="204"/>
      <c r="W80" s="164"/>
      <c r="X80" s="164"/>
      <c r="Y80" s="164"/>
      <c r="Z80" s="200"/>
      <c r="AA80" s="200">
        <v>25921941</v>
      </c>
      <c r="AB80" s="200"/>
      <c r="AC80" s="204"/>
      <c r="AD80" s="204"/>
      <c r="AE80" s="200"/>
      <c r="AF80" s="205"/>
      <c r="AG80" s="200"/>
      <c r="AH80" s="204"/>
      <c r="AI80" s="201">
        <f t="shared" si="1"/>
        <v>141078228</v>
      </c>
      <c r="AJ80" s="173"/>
    </row>
    <row r="81" spans="1:36">
      <c r="A81" s="162" t="s">
        <v>53</v>
      </c>
      <c r="B81" s="204"/>
      <c r="C81" s="205"/>
      <c r="D81" s="180"/>
      <c r="E81" s="205"/>
      <c r="F81" s="200"/>
      <c r="G81" s="200"/>
      <c r="H81" s="200"/>
      <c r="I81" s="200"/>
      <c r="J81" s="200"/>
      <c r="K81" s="200"/>
      <c r="L81" s="210"/>
      <c r="M81" s="200"/>
      <c r="N81" s="180"/>
      <c r="O81" s="180"/>
      <c r="P81" s="180"/>
      <c r="Q81" s="200"/>
      <c r="R81" s="200"/>
      <c r="T81" s="205"/>
      <c r="U81" s="176"/>
      <c r="V81" s="169"/>
      <c r="W81" s="164"/>
      <c r="X81" s="171"/>
      <c r="Y81" s="171"/>
      <c r="Z81" s="200"/>
      <c r="AA81" s="200"/>
      <c r="AB81" s="164"/>
      <c r="AC81" s="200"/>
      <c r="AD81" s="200"/>
      <c r="AE81" s="200"/>
      <c r="AF81" s="205"/>
      <c r="AG81" s="200"/>
      <c r="AH81" s="200"/>
      <c r="AI81" s="201">
        <f t="shared" si="1"/>
        <v>0</v>
      </c>
      <c r="AJ81" s="173"/>
    </row>
    <row r="82" spans="1:36">
      <c r="A82" s="162" t="s">
        <v>54</v>
      </c>
      <c r="B82" s="204"/>
      <c r="C82" s="205"/>
      <c r="D82" s="205"/>
      <c r="E82" s="180"/>
      <c r="F82" s="200"/>
      <c r="G82" s="200"/>
      <c r="H82" s="200"/>
      <c r="I82" s="200"/>
      <c r="J82" s="200"/>
      <c r="K82" s="200"/>
      <c r="L82" s="267"/>
      <c r="M82" s="200"/>
      <c r="N82" s="200"/>
      <c r="O82" s="205"/>
      <c r="P82" s="180"/>
      <c r="Q82" s="200"/>
      <c r="R82" s="200"/>
      <c r="S82" s="200"/>
      <c r="T82" s="205"/>
      <c r="U82" s="205"/>
      <c r="V82" s="169"/>
      <c r="W82" s="172"/>
      <c r="X82" s="170"/>
      <c r="Y82" s="170"/>
      <c r="Z82" s="180"/>
      <c r="AA82" s="200"/>
      <c r="AB82" s="200"/>
      <c r="AC82" s="204"/>
      <c r="AD82" s="200"/>
      <c r="AE82" s="200"/>
      <c r="AF82" s="205"/>
      <c r="AG82" s="200"/>
      <c r="AH82" s="204"/>
      <c r="AI82" s="201">
        <f t="shared" si="1"/>
        <v>0</v>
      </c>
      <c r="AJ82" s="173">
        <v>1</v>
      </c>
    </row>
    <row r="83" spans="1:36">
      <c r="A83" s="162" t="s">
        <v>203</v>
      </c>
      <c r="B83" s="204"/>
      <c r="C83" s="205"/>
      <c r="D83" s="205"/>
      <c r="E83" s="180"/>
      <c r="F83" s="200"/>
      <c r="G83" s="200"/>
      <c r="H83" s="204"/>
      <c r="I83" s="205"/>
      <c r="J83" s="200"/>
      <c r="K83" s="200"/>
      <c r="L83" s="267"/>
      <c r="M83" s="200"/>
      <c r="N83" s="200"/>
      <c r="O83" s="205"/>
      <c r="P83" s="180"/>
      <c r="Q83" s="200"/>
      <c r="R83" s="200"/>
      <c r="S83" s="200"/>
      <c r="T83" s="205"/>
      <c r="U83" s="205"/>
      <c r="V83" s="176"/>
      <c r="W83" s="172"/>
      <c r="X83" s="170"/>
      <c r="Y83" s="170"/>
      <c r="Z83" s="180"/>
      <c r="AA83" s="200"/>
      <c r="AB83" s="200"/>
      <c r="AC83" s="204"/>
      <c r="AD83" s="200"/>
      <c r="AE83" s="205"/>
      <c r="AF83" s="205"/>
      <c r="AG83" s="200"/>
      <c r="AH83" s="204"/>
      <c r="AI83" s="201">
        <f t="shared" si="1"/>
        <v>0</v>
      </c>
      <c r="AJ83" s="173"/>
    </row>
    <row r="84" spans="1:36">
      <c r="A84" s="162" t="s">
        <v>37</v>
      </c>
      <c r="B84" s="204"/>
      <c r="C84" s="180"/>
      <c r="D84" s="200">
        <v>3797222603</v>
      </c>
      <c r="E84" s="180">
        <v>2398162195</v>
      </c>
      <c r="F84" s="164">
        <v>1277802846</v>
      </c>
      <c r="G84" s="180"/>
      <c r="H84" s="200"/>
      <c r="I84" s="180"/>
      <c r="J84" s="200">
        <v>3156669396</v>
      </c>
      <c r="K84" s="200"/>
      <c r="L84" s="267">
        <v>1142835222</v>
      </c>
      <c r="M84" s="200">
        <v>1126630918</v>
      </c>
      <c r="N84" s="200"/>
      <c r="O84" s="205"/>
      <c r="P84" s="176">
        <v>237846950</v>
      </c>
      <c r="Q84" s="200">
        <v>1335189780</v>
      </c>
      <c r="R84" s="200"/>
      <c r="S84" s="200"/>
      <c r="T84" s="205">
        <v>1487120662</v>
      </c>
      <c r="U84" s="176"/>
      <c r="V84" s="176"/>
      <c r="W84" s="164"/>
      <c r="X84" s="171"/>
      <c r="Y84" s="171"/>
      <c r="Z84" s="200"/>
      <c r="AA84" s="176"/>
      <c r="AB84" s="178"/>
      <c r="AC84" s="178"/>
      <c r="AD84" s="200"/>
      <c r="AE84" s="178"/>
      <c r="AF84" s="178"/>
      <c r="AG84" s="200"/>
      <c r="AH84" s="200"/>
      <c r="AI84" s="201">
        <f t="shared" si="1"/>
        <v>15959480572</v>
      </c>
      <c r="AJ84" s="173"/>
    </row>
    <row r="85" spans="1:36">
      <c r="A85" s="162" t="s">
        <v>38</v>
      </c>
      <c r="B85" s="204"/>
      <c r="C85" s="176"/>
      <c r="D85" s="176"/>
      <c r="E85" s="180"/>
      <c r="F85" s="200"/>
      <c r="G85" s="200"/>
      <c r="H85" s="200"/>
      <c r="I85" s="205"/>
      <c r="J85" s="200"/>
      <c r="K85" s="180"/>
      <c r="L85" s="267"/>
      <c r="M85" s="200"/>
      <c r="N85" s="180"/>
      <c r="O85" s="180"/>
      <c r="P85" s="205"/>
      <c r="Q85" s="174"/>
      <c r="R85" s="176"/>
      <c r="S85" s="200"/>
      <c r="T85" s="176"/>
      <c r="U85" s="205"/>
      <c r="V85" s="205"/>
      <c r="W85" s="172"/>
      <c r="X85" s="171"/>
      <c r="Y85" s="171"/>
      <c r="Z85" s="180"/>
      <c r="AA85" s="176"/>
      <c r="AB85" s="172"/>
      <c r="AC85" s="200"/>
      <c r="AD85" s="200"/>
      <c r="AE85" s="205"/>
      <c r="AF85" s="176"/>
      <c r="AG85" s="169"/>
      <c r="AH85" s="169"/>
      <c r="AI85" s="201">
        <f t="shared" si="1"/>
        <v>0</v>
      </c>
      <c r="AJ85" s="173"/>
    </row>
    <row r="86" spans="1:36">
      <c r="A86" s="162" t="s">
        <v>414</v>
      </c>
      <c r="B86" s="204"/>
      <c r="C86" s="176"/>
      <c r="D86" s="176"/>
      <c r="E86" s="180"/>
      <c r="F86" s="200"/>
      <c r="G86" s="200"/>
      <c r="H86" s="200"/>
      <c r="I86" s="205"/>
      <c r="J86" s="200"/>
      <c r="K86" s="180"/>
      <c r="L86" s="267"/>
      <c r="M86" s="200"/>
      <c r="N86" s="180"/>
      <c r="O86" s="180"/>
      <c r="P86" s="205"/>
      <c r="Q86" s="174"/>
      <c r="R86" s="176"/>
      <c r="S86" s="200"/>
      <c r="T86" s="176"/>
      <c r="U86" s="205"/>
      <c r="V86" s="205"/>
      <c r="W86" s="172"/>
      <c r="X86" s="171"/>
      <c r="Y86" s="171"/>
      <c r="Z86" s="180"/>
      <c r="AA86" s="176"/>
      <c r="AB86" s="172"/>
      <c r="AC86" s="200"/>
      <c r="AD86" s="200"/>
      <c r="AE86" s="205"/>
      <c r="AF86" s="176"/>
      <c r="AG86" s="169"/>
      <c r="AH86" s="169"/>
      <c r="AI86" s="201"/>
      <c r="AJ86" s="173"/>
    </row>
    <row r="87" spans="1:36">
      <c r="A87" s="162" t="s">
        <v>540</v>
      </c>
      <c r="B87" s="204"/>
      <c r="C87" s="176"/>
      <c r="D87" s="176">
        <v>144313935</v>
      </c>
      <c r="E87" s="180"/>
      <c r="F87" s="200"/>
      <c r="G87" s="200"/>
      <c r="H87" s="204"/>
      <c r="I87" s="205"/>
      <c r="J87" s="200"/>
      <c r="K87" s="180"/>
      <c r="L87" s="205"/>
      <c r="M87" s="200"/>
      <c r="N87" s="174"/>
      <c r="O87" s="180"/>
      <c r="P87" s="205"/>
      <c r="Q87" s="174"/>
      <c r="R87" s="176"/>
      <c r="S87" s="200"/>
      <c r="T87" s="176"/>
      <c r="U87" s="205"/>
      <c r="V87" s="205"/>
      <c r="W87" s="172"/>
      <c r="X87" s="171"/>
      <c r="Y87" s="171"/>
      <c r="Z87" s="180"/>
      <c r="AA87" s="176"/>
      <c r="AB87" s="172"/>
      <c r="AC87" s="200"/>
      <c r="AD87" s="200"/>
      <c r="AE87" s="205"/>
      <c r="AF87" s="176"/>
      <c r="AG87" s="169"/>
      <c r="AH87" s="169"/>
      <c r="AI87" s="201">
        <f t="shared" si="1"/>
        <v>144313935</v>
      </c>
      <c r="AJ87" s="173"/>
    </row>
    <row r="88" spans="1:36">
      <c r="A88" s="162" t="s">
        <v>175</v>
      </c>
      <c r="B88" s="204"/>
      <c r="C88" s="193"/>
      <c r="D88" s="200"/>
      <c r="E88" s="180">
        <v>2597001734</v>
      </c>
      <c r="F88" s="200">
        <v>2246145640</v>
      </c>
      <c r="G88" s="200"/>
      <c r="H88" s="200"/>
      <c r="I88" s="205"/>
      <c r="J88" s="180">
        <v>1746463178</v>
      </c>
      <c r="K88" s="200"/>
      <c r="L88" s="176">
        <v>1631124391</v>
      </c>
      <c r="M88" s="200"/>
      <c r="N88" s="180"/>
      <c r="O88" s="180"/>
      <c r="P88" s="154"/>
      <c r="Q88" s="205"/>
      <c r="R88" s="176"/>
      <c r="S88" s="200"/>
      <c r="T88" s="200"/>
      <c r="U88" s="200"/>
      <c r="V88" s="200"/>
      <c r="W88" s="175"/>
      <c r="X88" s="175"/>
      <c r="Y88" s="175"/>
      <c r="Z88" s="180"/>
      <c r="AA88" s="172"/>
      <c r="AB88" s="172"/>
      <c r="AC88" s="200"/>
      <c r="AD88" s="289">
        <v>3336085601</v>
      </c>
      <c r="AE88" s="176"/>
      <c r="AF88" s="176"/>
      <c r="AG88" s="176"/>
      <c r="AH88" s="169"/>
      <c r="AI88" s="201">
        <f t="shared" si="1"/>
        <v>11556820544</v>
      </c>
      <c r="AJ88" s="173"/>
    </row>
    <row r="89" spans="1:36">
      <c r="A89" s="162" t="s">
        <v>176</v>
      </c>
      <c r="B89" s="204"/>
      <c r="C89" s="205"/>
      <c r="D89" s="200"/>
      <c r="E89" s="180"/>
      <c r="F89" s="200"/>
      <c r="G89" s="200"/>
      <c r="H89" s="200"/>
      <c r="I89" s="205"/>
      <c r="J89" s="180"/>
      <c r="K89" s="180"/>
      <c r="L89" s="205"/>
      <c r="M89" s="200"/>
      <c r="N89" s="200"/>
      <c r="O89" s="180"/>
      <c r="P89" s="205"/>
      <c r="Q89" s="200"/>
      <c r="R89" s="207"/>
      <c r="S89" s="200"/>
      <c r="T89" s="180"/>
      <c r="U89" s="176"/>
      <c r="V89" s="176"/>
      <c r="W89" s="164"/>
      <c r="X89" s="176"/>
      <c r="Y89" s="180"/>
      <c r="Z89" s="205"/>
      <c r="AA89" s="200"/>
      <c r="AB89" s="172"/>
      <c r="AC89" s="200"/>
      <c r="AD89" s="200"/>
      <c r="AE89" s="205"/>
      <c r="AF89" s="176"/>
      <c r="AG89" s="200"/>
      <c r="AH89" s="200"/>
      <c r="AI89" s="201">
        <f t="shared" si="1"/>
        <v>0</v>
      </c>
      <c r="AJ89" s="173"/>
    </row>
    <row r="90" spans="1:36">
      <c r="A90" s="162" t="s">
        <v>409</v>
      </c>
      <c r="B90" s="204"/>
      <c r="C90" s="205"/>
      <c r="D90" s="200"/>
      <c r="E90" s="180"/>
      <c r="F90" s="200"/>
      <c r="G90" s="200"/>
      <c r="H90" s="200"/>
      <c r="I90" s="205"/>
      <c r="J90" s="180"/>
      <c r="K90" s="180"/>
      <c r="L90" s="205"/>
      <c r="M90" s="200"/>
      <c r="N90" s="200"/>
      <c r="O90" s="180"/>
      <c r="P90" s="205"/>
      <c r="Q90" s="200"/>
      <c r="R90" s="207"/>
      <c r="S90" s="200"/>
      <c r="T90" s="180"/>
      <c r="U90" s="176"/>
      <c r="V90" s="176"/>
      <c r="W90" s="164"/>
      <c r="X90" s="176"/>
      <c r="Y90" s="176"/>
      <c r="Z90" s="176"/>
      <c r="AA90" s="176"/>
      <c r="AB90" s="172"/>
      <c r="AC90" s="200"/>
      <c r="AD90" s="200"/>
      <c r="AE90" s="209"/>
      <c r="AF90" s="176"/>
      <c r="AG90" s="200"/>
      <c r="AH90" s="200"/>
      <c r="AI90" s="201"/>
      <c r="AJ90" s="173"/>
    </row>
    <row r="91" spans="1:36">
      <c r="A91" s="162" t="s">
        <v>202</v>
      </c>
      <c r="B91" s="204"/>
      <c r="C91" s="205"/>
      <c r="D91" s="200">
        <v>76979869</v>
      </c>
      <c r="E91" s="180"/>
      <c r="F91" s="200"/>
      <c r="G91" s="200"/>
      <c r="H91" s="200"/>
      <c r="I91" s="205"/>
      <c r="J91" s="180"/>
      <c r="K91" s="180"/>
      <c r="L91" s="205"/>
      <c r="M91" s="200"/>
      <c r="N91" s="200"/>
      <c r="O91" s="180"/>
      <c r="P91" s="205"/>
      <c r="Q91" s="200"/>
      <c r="R91" s="207"/>
      <c r="S91" s="200"/>
      <c r="T91" s="180"/>
      <c r="U91" s="176"/>
      <c r="V91" s="200"/>
      <c r="W91" s="200"/>
      <c r="X91" s="176"/>
      <c r="Y91" s="180"/>
      <c r="Z91" s="200"/>
      <c r="AA91" s="200"/>
      <c r="AB91" s="172"/>
      <c r="AC91" s="200"/>
      <c r="AD91" s="200"/>
      <c r="AE91" s="207"/>
      <c r="AF91" s="176"/>
      <c r="AG91" s="200"/>
      <c r="AH91" s="200"/>
      <c r="AI91" s="201">
        <f t="shared" si="1"/>
        <v>76979869</v>
      </c>
      <c r="AJ91" s="173"/>
    </row>
    <row r="92" spans="1:36">
      <c r="A92" s="211" t="s">
        <v>41</v>
      </c>
      <c r="B92" s="212"/>
      <c r="C92" s="213">
        <f>SUM(C67:C91)</f>
        <v>0</v>
      </c>
      <c r="D92" s="213">
        <f t="shared" ref="D92:AI92" si="2">SUM(D67:D91)</f>
        <v>4018516407</v>
      </c>
      <c r="E92" s="213">
        <f t="shared" si="2"/>
        <v>7613818104</v>
      </c>
      <c r="F92" s="213">
        <f t="shared" si="2"/>
        <v>6904820018</v>
      </c>
      <c r="G92" s="213">
        <f t="shared" si="2"/>
        <v>0</v>
      </c>
      <c r="H92" s="213">
        <f t="shared" si="2"/>
        <v>0</v>
      </c>
      <c r="I92" s="213">
        <f t="shared" si="2"/>
        <v>0</v>
      </c>
      <c r="J92" s="213">
        <f t="shared" si="2"/>
        <v>10958992545</v>
      </c>
      <c r="K92" s="213">
        <f t="shared" si="2"/>
        <v>0</v>
      </c>
      <c r="L92" s="213">
        <f t="shared" si="2"/>
        <v>8947956061</v>
      </c>
      <c r="M92" s="213">
        <f t="shared" si="2"/>
        <v>5106518377</v>
      </c>
      <c r="N92" s="213">
        <f>SUM(N67:N91)</f>
        <v>0</v>
      </c>
      <c r="O92" s="213">
        <f t="shared" si="2"/>
        <v>0</v>
      </c>
      <c r="P92" s="213">
        <f>SUM(P67:P91)</f>
        <v>237846950</v>
      </c>
      <c r="Q92" s="213">
        <f t="shared" si="2"/>
        <v>3417550124</v>
      </c>
      <c r="R92" s="213">
        <f t="shared" si="2"/>
        <v>0</v>
      </c>
      <c r="S92" s="213">
        <f t="shared" si="2"/>
        <v>0</v>
      </c>
      <c r="T92" s="213">
        <f t="shared" si="2"/>
        <v>13423598034</v>
      </c>
      <c r="U92" s="213">
        <f t="shared" si="2"/>
        <v>0</v>
      </c>
      <c r="V92" s="213">
        <f t="shared" si="2"/>
        <v>0</v>
      </c>
      <c r="W92" s="213">
        <f>SUM(W67:W91)</f>
        <v>0</v>
      </c>
      <c r="X92" s="213">
        <f>SUM(X67:X91)</f>
        <v>0</v>
      </c>
      <c r="Y92" s="213">
        <f t="shared" si="2"/>
        <v>0</v>
      </c>
      <c r="Z92" s="213">
        <f t="shared" si="2"/>
        <v>0</v>
      </c>
      <c r="AA92" s="213">
        <f t="shared" si="2"/>
        <v>4816830290</v>
      </c>
      <c r="AB92" s="213">
        <f t="shared" si="2"/>
        <v>0</v>
      </c>
      <c r="AC92" s="213">
        <f t="shared" si="2"/>
        <v>0</v>
      </c>
      <c r="AD92" s="213">
        <f t="shared" si="2"/>
        <v>4136301324</v>
      </c>
      <c r="AE92" s="213">
        <f t="shared" si="2"/>
        <v>0</v>
      </c>
      <c r="AF92" s="213">
        <f t="shared" si="2"/>
        <v>0</v>
      </c>
      <c r="AG92" s="213">
        <f t="shared" si="2"/>
        <v>0</v>
      </c>
      <c r="AH92" s="213">
        <f t="shared" si="2"/>
        <v>0</v>
      </c>
      <c r="AI92" s="213">
        <f t="shared" si="2"/>
        <v>64466037261</v>
      </c>
      <c r="AJ92" s="154"/>
    </row>
    <row r="93" spans="1:36">
      <c r="A93" s="393" t="s">
        <v>42</v>
      </c>
      <c r="B93" s="394"/>
      <c r="C93" s="215">
        <f t="shared" ref="C93:AG93" si="3">C64+C92</f>
        <v>0</v>
      </c>
      <c r="D93" s="215">
        <f>D64+D92</f>
        <v>4018516407</v>
      </c>
      <c r="E93" s="216">
        <f t="shared" si="3"/>
        <v>7662692827</v>
      </c>
      <c r="F93" s="216">
        <f t="shared" si="3"/>
        <v>7406983651</v>
      </c>
      <c r="G93" s="216">
        <f t="shared" si="3"/>
        <v>0</v>
      </c>
      <c r="H93" s="216">
        <f t="shared" si="3"/>
        <v>0</v>
      </c>
      <c r="I93" s="216">
        <f t="shared" si="3"/>
        <v>1014192987</v>
      </c>
      <c r="J93" s="215">
        <f t="shared" si="3"/>
        <v>10958992545</v>
      </c>
      <c r="K93" s="215">
        <f t="shared" si="3"/>
        <v>179945742</v>
      </c>
      <c r="L93" s="216">
        <f t="shared" si="3"/>
        <v>8947956061</v>
      </c>
      <c r="M93" s="216">
        <f>M64+M92</f>
        <v>6030686917</v>
      </c>
      <c r="N93" s="216">
        <f t="shared" si="3"/>
        <v>0</v>
      </c>
      <c r="O93" s="216">
        <f t="shared" si="3"/>
        <v>0</v>
      </c>
      <c r="P93" s="216">
        <f t="shared" si="3"/>
        <v>489868646</v>
      </c>
      <c r="Q93" s="216">
        <f t="shared" si="3"/>
        <v>3508269874</v>
      </c>
      <c r="R93" s="216">
        <f t="shared" si="3"/>
        <v>1039981289</v>
      </c>
      <c r="S93" s="216">
        <f t="shared" si="3"/>
        <v>0</v>
      </c>
      <c r="T93" s="216">
        <f t="shared" si="3"/>
        <v>15470224326</v>
      </c>
      <c r="U93" s="216">
        <f t="shared" si="3"/>
        <v>0</v>
      </c>
      <c r="V93" s="216">
        <f t="shared" si="3"/>
        <v>0</v>
      </c>
      <c r="W93" s="216">
        <f t="shared" si="3"/>
        <v>0</v>
      </c>
      <c r="X93" s="216">
        <f t="shared" si="3"/>
        <v>1495167275</v>
      </c>
      <c r="Y93" s="216">
        <f t="shared" si="3"/>
        <v>209559186</v>
      </c>
      <c r="Z93" s="216">
        <f t="shared" si="3"/>
        <v>0</v>
      </c>
      <c r="AA93" s="216">
        <f t="shared" si="3"/>
        <v>6540371037</v>
      </c>
      <c r="AB93" s="216">
        <f t="shared" si="3"/>
        <v>0</v>
      </c>
      <c r="AC93" s="216">
        <f t="shared" si="3"/>
        <v>0</v>
      </c>
      <c r="AD93" s="216">
        <f t="shared" si="3"/>
        <v>16882746044</v>
      </c>
      <c r="AE93" s="216">
        <f t="shared" si="3"/>
        <v>0</v>
      </c>
      <c r="AF93" s="216">
        <f t="shared" si="3"/>
        <v>0</v>
      </c>
      <c r="AG93" s="216">
        <f t="shared" si="3"/>
        <v>0</v>
      </c>
      <c r="AH93" s="216"/>
      <c r="AI93" s="216">
        <f>SUM(C93:AG93)</f>
        <v>91856154814</v>
      </c>
    </row>
    <row r="95" spans="1:36">
      <c r="A95" s="150" t="s">
        <v>50</v>
      </c>
      <c r="C95" s="154"/>
      <c r="D95" s="193">
        <v>19918659709</v>
      </c>
      <c r="E95" s="154">
        <v>18425487921</v>
      </c>
      <c r="F95" s="154">
        <v>14085522602</v>
      </c>
      <c r="G95" s="154"/>
      <c r="H95" s="154"/>
      <c r="I95" s="154">
        <v>13002898008</v>
      </c>
      <c r="J95" s="154">
        <v>15413875215</v>
      </c>
      <c r="K95" s="193"/>
      <c r="L95" s="154">
        <v>16493653953</v>
      </c>
      <c r="M95" s="154">
        <v>11406631784</v>
      </c>
      <c r="N95" s="154"/>
      <c r="O95" s="154"/>
      <c r="P95" s="154">
        <v>11975404555</v>
      </c>
      <c r="Q95" s="154"/>
      <c r="R95" s="154">
        <v>14868207449</v>
      </c>
      <c r="S95" s="154"/>
      <c r="T95" s="154">
        <v>20634294197</v>
      </c>
      <c r="U95" s="154"/>
      <c r="V95" s="154"/>
      <c r="W95" s="154">
        <v>11795099602</v>
      </c>
      <c r="X95" s="154">
        <v>15266023350</v>
      </c>
      <c r="Y95" s="154">
        <v>19023400247</v>
      </c>
      <c r="Z95" s="154"/>
      <c r="AA95" s="154">
        <v>26301382275</v>
      </c>
      <c r="AB95" s="217"/>
      <c r="AC95" s="154"/>
      <c r="AD95" s="154"/>
      <c r="AE95" s="154"/>
      <c r="AF95" s="154"/>
      <c r="AG95" s="154"/>
      <c r="AH95" s="154"/>
    </row>
    <row r="96" spans="1:36">
      <c r="A96" s="150" t="s">
        <v>139</v>
      </c>
      <c r="C96" s="200"/>
      <c r="D96" s="218">
        <f>D95-D93</f>
        <v>15900143302</v>
      </c>
      <c r="E96" s="219">
        <f>E95-E93</f>
        <v>10762795094</v>
      </c>
      <c r="F96" s="154"/>
      <c r="G96" s="219"/>
      <c r="H96" s="154"/>
      <c r="I96" s="219">
        <f>I95-I93</f>
        <v>11988705021</v>
      </c>
      <c r="J96" s="154">
        <f>J95-J93</f>
        <v>4454882670</v>
      </c>
      <c r="K96" s="220"/>
      <c r="L96" s="219">
        <f>L95-L93</f>
        <v>7545697892</v>
      </c>
      <c r="M96" s="217">
        <f>M95-M93</f>
        <v>5375944867</v>
      </c>
      <c r="N96" s="217"/>
      <c r="O96" s="217"/>
      <c r="P96" s="217">
        <f>P95-P93</f>
        <v>11485535909</v>
      </c>
      <c r="Q96" s="217"/>
      <c r="R96" s="217">
        <f>R95-R93</f>
        <v>13828226160</v>
      </c>
      <c r="S96" s="217"/>
      <c r="T96" s="217"/>
      <c r="U96" s="217"/>
      <c r="V96" s="217"/>
      <c r="W96" s="219">
        <f>W95-W93</f>
        <v>11795099602</v>
      </c>
      <c r="X96" s="154">
        <f>X95-X93</f>
        <v>13770856075</v>
      </c>
      <c r="Y96" s="219">
        <f>Y95-Y93</f>
        <v>18813841061</v>
      </c>
      <c r="Z96" s="154"/>
      <c r="AA96" s="154">
        <f>AA95-AA93</f>
        <v>19761011238</v>
      </c>
      <c r="AB96" s="217"/>
      <c r="AC96" s="219"/>
      <c r="AD96" s="219"/>
      <c r="AE96" s="219"/>
      <c r="AF96" s="219"/>
      <c r="AG96" s="219"/>
      <c r="AH96" s="219"/>
      <c r="AI96" s="219"/>
    </row>
    <row r="97" spans="1:40">
      <c r="A97" s="150" t="s">
        <v>181</v>
      </c>
      <c r="C97" s="154"/>
      <c r="D97" s="218">
        <v>2002317297</v>
      </c>
      <c r="E97" s="154"/>
      <c r="F97" s="154"/>
      <c r="G97" s="154"/>
      <c r="H97" s="154"/>
      <c r="I97" s="154">
        <v>2185444342</v>
      </c>
      <c r="J97" s="154">
        <v>3044000000</v>
      </c>
      <c r="K97" s="220"/>
      <c r="L97" s="154">
        <v>2808737689</v>
      </c>
      <c r="M97" s="154">
        <v>2660631892</v>
      </c>
      <c r="N97" s="154"/>
      <c r="O97" s="217"/>
      <c r="P97" s="154">
        <v>2326695708</v>
      </c>
      <c r="Q97" s="154"/>
      <c r="R97" s="219">
        <v>2394951359</v>
      </c>
      <c r="S97" s="154">
        <v>2000000000</v>
      </c>
      <c r="T97" s="154">
        <v>2600000000</v>
      </c>
      <c r="U97" s="154"/>
      <c r="V97" s="154"/>
      <c r="W97" s="154">
        <v>2226493358</v>
      </c>
      <c r="X97" s="154">
        <v>2426875393</v>
      </c>
      <c r="Y97" s="217">
        <v>2736235313</v>
      </c>
      <c r="Z97" s="154"/>
      <c r="AA97" s="154"/>
      <c r="AB97" s="154"/>
      <c r="AC97" s="154"/>
      <c r="AD97" s="217"/>
      <c r="AE97" s="154"/>
      <c r="AF97" s="154"/>
      <c r="AG97" s="154"/>
      <c r="AH97" s="154"/>
      <c r="AI97" s="219"/>
    </row>
    <row r="98" spans="1:40">
      <c r="A98" s="150" t="s">
        <v>139</v>
      </c>
      <c r="C98" s="154"/>
      <c r="D98" s="218">
        <f>D96+D97</f>
        <v>17902460599</v>
      </c>
      <c r="E98" s="154"/>
      <c r="F98" s="154"/>
      <c r="G98" s="154"/>
      <c r="H98" s="154"/>
      <c r="I98" s="154">
        <f>I96+I97</f>
        <v>14174149363</v>
      </c>
      <c r="J98" s="193"/>
      <c r="K98" s="193"/>
      <c r="L98" s="154">
        <f>L96+L97</f>
        <v>10354435581</v>
      </c>
      <c r="M98" s="154">
        <f>M96+M97</f>
        <v>8036576759</v>
      </c>
      <c r="N98" s="154"/>
      <c r="O98" s="154"/>
      <c r="P98" s="154">
        <f>P96+P97</f>
        <v>13812231617</v>
      </c>
      <c r="Q98" s="154"/>
      <c r="R98" s="154">
        <f>R96+R97</f>
        <v>16223177519</v>
      </c>
      <c r="S98" s="154"/>
      <c r="T98" s="154">
        <f>T95+T97</f>
        <v>23234294197</v>
      </c>
      <c r="U98" s="154"/>
      <c r="V98" s="154"/>
      <c r="W98" s="154">
        <f>W96+W97</f>
        <v>14021592960</v>
      </c>
      <c r="X98" s="154">
        <f>X96+X97</f>
        <v>16197731468</v>
      </c>
      <c r="Y98" s="217">
        <f>Y96+Y97</f>
        <v>21550076374</v>
      </c>
      <c r="Z98" s="219"/>
      <c r="AA98" s="219"/>
      <c r="AB98" s="154"/>
      <c r="AC98" s="154"/>
      <c r="AD98" s="219"/>
      <c r="AE98" s="219"/>
      <c r="AF98" s="219"/>
      <c r="AG98" s="219"/>
      <c r="AH98" s="219"/>
      <c r="AI98" s="219"/>
    </row>
    <row r="99" spans="1:40">
      <c r="A99" s="150" t="s">
        <v>407</v>
      </c>
      <c r="D99" s="220">
        <f>D84+D87+D91</f>
        <v>4018516407</v>
      </c>
      <c r="E99" s="154"/>
      <c r="F99" s="154"/>
      <c r="H99" s="217"/>
      <c r="I99" s="154"/>
      <c r="J99" s="193"/>
      <c r="K99" s="220"/>
      <c r="L99" s="154">
        <f>L77+L78+L80+L84+L88</f>
        <v>8947956061</v>
      </c>
      <c r="M99" s="154">
        <f>M53+M62+M70+M74+M77+M80+M84</f>
        <v>6030686917</v>
      </c>
      <c r="N99" s="154"/>
      <c r="P99" s="154"/>
      <c r="S99" s="219"/>
      <c r="T99" s="219"/>
      <c r="U99" s="154"/>
      <c r="V99" s="154"/>
      <c r="W99" s="217"/>
      <c r="X99" s="154">
        <f>X8+X18+X53</f>
        <v>1495167275</v>
      </c>
      <c r="Y99" s="219">
        <f>Y10+Y60</f>
        <v>209559186</v>
      </c>
      <c r="Z99" s="219"/>
      <c r="AA99" s="219">
        <f>AA53+AA54+AA62+AA77+AA80</f>
        <v>6540371037</v>
      </c>
      <c r="AB99" s="154"/>
      <c r="AD99" s="150" t="s">
        <v>593</v>
      </c>
      <c r="AG99" s="154"/>
      <c r="AH99" s="154"/>
      <c r="AJ99" s="219"/>
    </row>
    <row r="100" spans="1:40">
      <c r="C100" s="193"/>
      <c r="F100" s="154"/>
      <c r="I100" s="219"/>
      <c r="K100" s="218"/>
      <c r="L100" s="154"/>
      <c r="R100" s="217"/>
      <c r="S100" s="219"/>
      <c r="V100" s="154"/>
      <c r="X100" s="219"/>
      <c r="AD100" s="398" t="s">
        <v>580</v>
      </c>
      <c r="AE100" s="398"/>
      <c r="AF100" s="398"/>
    </row>
    <row r="101" spans="1:40">
      <c r="L101" s="154"/>
      <c r="Y101" s="154"/>
      <c r="AD101" s="284" t="s">
        <v>443</v>
      </c>
      <c r="AE101" s="285" t="s">
        <v>444</v>
      </c>
      <c r="AF101" s="284" t="s">
        <v>445</v>
      </c>
      <c r="AG101" s="283"/>
      <c r="AH101" s="222"/>
      <c r="AI101" s="169"/>
      <c r="AJ101" s="176"/>
    </row>
    <row r="102" spans="1:40">
      <c r="C102" s="150"/>
      <c r="D102" s="150"/>
      <c r="F102" s="395" t="s">
        <v>481</v>
      </c>
      <c r="G102" s="395"/>
      <c r="H102" s="395" t="s">
        <v>481</v>
      </c>
      <c r="I102" s="395"/>
      <c r="J102" s="395" t="s">
        <v>481</v>
      </c>
      <c r="K102" s="395"/>
      <c r="L102" s="395" t="s">
        <v>481</v>
      </c>
      <c r="M102" s="395"/>
      <c r="P102" s="395" t="s">
        <v>430</v>
      </c>
      <c r="Q102" s="395"/>
      <c r="R102" s="395"/>
      <c r="S102" s="395"/>
      <c r="T102" s="395"/>
      <c r="AD102" s="169" t="s">
        <v>582</v>
      </c>
      <c r="AE102" s="176" t="s">
        <v>583</v>
      </c>
      <c r="AF102" s="176">
        <f>1707000+1707000</f>
        <v>3414000</v>
      </c>
      <c r="AG102" s="222"/>
      <c r="AH102" s="222"/>
      <c r="AI102" s="169"/>
      <c r="AJ102" s="176"/>
    </row>
    <row r="103" spans="1:40">
      <c r="F103" s="395" t="s">
        <v>482</v>
      </c>
      <c r="G103" s="395"/>
      <c r="H103" s="395" t="s">
        <v>504</v>
      </c>
      <c r="I103" s="395"/>
      <c r="J103" s="395" t="s">
        <v>508</v>
      </c>
      <c r="K103" s="395"/>
      <c r="L103" s="395" t="s">
        <v>546</v>
      </c>
      <c r="M103" s="395"/>
      <c r="O103" s="150" t="s">
        <v>375</v>
      </c>
      <c r="P103" s="397">
        <v>44544</v>
      </c>
      <c r="Q103" s="397"/>
      <c r="R103" s="397"/>
      <c r="S103" s="397"/>
      <c r="T103" s="397"/>
      <c r="U103" s="185"/>
      <c r="AA103" s="150" t="s">
        <v>111</v>
      </c>
      <c r="AD103" s="169" t="s">
        <v>582</v>
      </c>
      <c r="AE103" s="176" t="s">
        <v>584</v>
      </c>
      <c r="AF103" s="176">
        <v>750000</v>
      </c>
      <c r="AG103" s="222"/>
      <c r="AH103" s="222"/>
      <c r="AI103" s="169"/>
      <c r="AJ103" s="176"/>
    </row>
    <row r="104" spans="1:40">
      <c r="F104" s="225" t="s">
        <v>233</v>
      </c>
      <c r="G104" s="225" t="s">
        <v>241</v>
      </c>
      <c r="H104" s="225" t="s">
        <v>233</v>
      </c>
      <c r="I104" s="225" t="s">
        <v>241</v>
      </c>
      <c r="J104" s="225" t="s">
        <v>233</v>
      </c>
      <c r="K104" s="225" t="s">
        <v>241</v>
      </c>
      <c r="L104" s="225" t="s">
        <v>233</v>
      </c>
      <c r="M104" s="225" t="s">
        <v>241</v>
      </c>
      <c r="P104" s="249" t="s">
        <v>443</v>
      </c>
      <c r="Q104" s="249"/>
      <c r="R104" s="249"/>
      <c r="S104" s="249" t="s">
        <v>444</v>
      </c>
      <c r="T104" s="249" t="s">
        <v>445</v>
      </c>
      <c r="U104" s="185"/>
      <c r="AB104" s="150" t="s">
        <v>111</v>
      </c>
      <c r="AD104" s="169" t="s">
        <v>594</v>
      </c>
      <c r="AE104" s="176" t="s">
        <v>595</v>
      </c>
      <c r="AF104" s="176">
        <v>4690222</v>
      </c>
      <c r="AG104" s="222"/>
      <c r="AH104" s="222"/>
      <c r="AI104" s="169"/>
      <c r="AJ104" s="176"/>
    </row>
    <row r="105" spans="1:40">
      <c r="C105" s="150"/>
      <c r="D105" s="150"/>
      <c r="F105" s="169" t="s">
        <v>483</v>
      </c>
      <c r="G105" s="176">
        <v>343636</v>
      </c>
      <c r="H105" s="169" t="s">
        <v>505</v>
      </c>
      <c r="I105" s="176">
        <v>27759800</v>
      </c>
      <c r="J105" s="169" t="s">
        <v>509</v>
      </c>
      <c r="K105" s="176">
        <v>26400000</v>
      </c>
      <c r="L105" s="169" t="s">
        <v>516</v>
      </c>
      <c r="M105" s="176">
        <v>2595000</v>
      </c>
      <c r="N105" s="247"/>
      <c r="O105" s="247" t="s">
        <v>376</v>
      </c>
      <c r="P105" s="250" t="s">
        <v>431</v>
      </c>
      <c r="Q105" s="250"/>
      <c r="R105" s="250"/>
      <c r="S105" s="250" t="s">
        <v>432</v>
      </c>
      <c r="T105" s="250">
        <v>720000000</v>
      </c>
      <c r="U105" s="247"/>
      <c r="V105" s="247"/>
      <c r="AD105" s="169" t="s">
        <v>468</v>
      </c>
      <c r="AE105" s="176" t="s">
        <v>581</v>
      </c>
      <c r="AF105" s="176">
        <v>382100</v>
      </c>
      <c r="AG105" s="286"/>
      <c r="AH105" s="224"/>
      <c r="AI105" s="169"/>
      <c r="AJ105" s="176"/>
    </row>
    <row r="106" spans="1:40">
      <c r="C106" s="150"/>
      <c r="D106" s="150"/>
      <c r="F106" s="169" t="s">
        <v>484</v>
      </c>
      <c r="G106" s="176">
        <v>721636</v>
      </c>
      <c r="H106" s="169" t="s">
        <v>506</v>
      </c>
      <c r="I106" s="176">
        <v>27759800</v>
      </c>
      <c r="J106" s="169" t="s">
        <v>510</v>
      </c>
      <c r="K106" s="176">
        <v>3800000</v>
      </c>
      <c r="L106" s="169" t="s">
        <v>517</v>
      </c>
      <c r="M106" s="176">
        <v>5870050</v>
      </c>
      <c r="N106" s="247"/>
      <c r="O106" s="247"/>
      <c r="P106" s="250" t="s">
        <v>433</v>
      </c>
      <c r="Q106" s="250"/>
      <c r="R106" s="250"/>
      <c r="S106" s="250" t="s">
        <v>434</v>
      </c>
      <c r="T106" s="250">
        <v>207000000</v>
      </c>
      <c r="U106" s="247"/>
      <c r="V106" s="247"/>
      <c r="W106" s="395"/>
      <c r="X106" s="395"/>
      <c r="Y106" s="395"/>
      <c r="Z106" s="395"/>
      <c r="AD106" s="169" t="s">
        <v>585</v>
      </c>
      <c r="AE106" s="176" t="s">
        <v>586</v>
      </c>
      <c r="AF106" s="176">
        <v>600739</v>
      </c>
      <c r="AG106" s="154"/>
      <c r="AH106" s="154"/>
      <c r="AI106" s="169"/>
      <c r="AJ106" s="176"/>
    </row>
    <row r="107" spans="1:40">
      <c r="C107" s="150"/>
      <c r="D107" s="150"/>
      <c r="F107" s="169" t="s">
        <v>485</v>
      </c>
      <c r="G107" s="176">
        <v>687272</v>
      </c>
      <c r="H107" s="169" t="s">
        <v>507</v>
      </c>
      <c r="I107" s="176">
        <v>27759800</v>
      </c>
      <c r="J107" s="169" t="s">
        <v>511</v>
      </c>
      <c r="K107" s="176">
        <v>2400000</v>
      </c>
      <c r="L107" s="169" t="s">
        <v>518</v>
      </c>
      <c r="M107" s="176">
        <v>2638810</v>
      </c>
      <c r="N107" s="247"/>
      <c r="O107" s="247"/>
      <c r="P107" s="250" t="s">
        <v>433</v>
      </c>
      <c r="Q107" s="250"/>
      <c r="R107" s="250"/>
      <c r="S107" s="250" t="s">
        <v>435</v>
      </c>
      <c r="T107" s="250">
        <v>202500000</v>
      </c>
      <c r="U107" s="247"/>
      <c r="V107" s="247"/>
      <c r="W107" s="398" t="s">
        <v>535</v>
      </c>
      <c r="X107" s="398"/>
      <c r="Y107" s="154" t="s">
        <v>596</v>
      </c>
      <c r="Z107" s="154"/>
      <c r="AD107" s="169" t="s">
        <v>587</v>
      </c>
      <c r="AE107" s="176" t="s">
        <v>588</v>
      </c>
      <c r="AF107" s="176">
        <v>490000</v>
      </c>
      <c r="AG107" s="154"/>
      <c r="AH107" s="154"/>
      <c r="AI107" s="169"/>
      <c r="AJ107" s="176"/>
    </row>
    <row r="108" spans="1:40">
      <c r="C108" s="150"/>
      <c r="D108" s="150"/>
      <c r="F108" s="169" t="s">
        <v>486</v>
      </c>
      <c r="G108" s="176">
        <v>1080000</v>
      </c>
      <c r="H108" s="169"/>
      <c r="I108" s="176"/>
      <c r="J108" s="169" t="s">
        <v>512</v>
      </c>
      <c r="K108" s="176">
        <v>3000000</v>
      </c>
      <c r="L108" s="169" t="s">
        <v>519</v>
      </c>
      <c r="M108" s="176">
        <v>2832750</v>
      </c>
      <c r="N108" s="247"/>
      <c r="O108" s="247"/>
      <c r="P108" s="250" t="s">
        <v>236</v>
      </c>
      <c r="Q108" s="250"/>
      <c r="R108" s="250"/>
      <c r="S108" s="250" t="s">
        <v>436</v>
      </c>
      <c r="T108" s="250">
        <v>999999</v>
      </c>
      <c r="U108" s="247"/>
      <c r="V108" s="247"/>
      <c r="W108" s="225" t="s">
        <v>233</v>
      </c>
      <c r="X108" s="225" t="s">
        <v>241</v>
      </c>
      <c r="Y108" s="248" t="s">
        <v>597</v>
      </c>
      <c r="Z108" s="154">
        <v>3262613192</v>
      </c>
      <c r="AD108" s="169" t="s">
        <v>590</v>
      </c>
      <c r="AE108" s="176" t="s">
        <v>589</v>
      </c>
      <c r="AF108" s="176">
        <v>70661200</v>
      </c>
      <c r="AG108" s="154"/>
      <c r="AH108" s="154"/>
      <c r="AI108" s="169"/>
      <c r="AJ108" s="176"/>
    </row>
    <row r="109" spans="1:40">
      <c r="C109" s="150"/>
      <c r="D109" s="150"/>
      <c r="F109" s="169" t="s">
        <v>487</v>
      </c>
      <c r="G109" s="176">
        <v>687272</v>
      </c>
      <c r="H109" s="169" t="s">
        <v>241</v>
      </c>
      <c r="I109" s="176">
        <f>SUM(I105:I108)</f>
        <v>83279400</v>
      </c>
      <c r="J109" s="169" t="s">
        <v>513</v>
      </c>
      <c r="K109" s="176">
        <v>1000000</v>
      </c>
      <c r="L109" s="169" t="s">
        <v>520</v>
      </c>
      <c r="M109" s="176">
        <v>4366667</v>
      </c>
      <c r="N109" s="247"/>
      <c r="O109" s="247"/>
      <c r="P109" s="250" t="s">
        <v>437</v>
      </c>
      <c r="Q109" s="250"/>
      <c r="R109" s="250"/>
      <c r="S109" s="250" t="s">
        <v>438</v>
      </c>
      <c r="T109" s="250">
        <v>1619800</v>
      </c>
      <c r="U109" s="247"/>
      <c r="V109" s="247"/>
      <c r="W109" s="226" t="s">
        <v>531</v>
      </c>
      <c r="X109" s="176">
        <v>5000000</v>
      </c>
      <c r="Y109" s="154" t="s">
        <v>598</v>
      </c>
      <c r="Z109" s="154">
        <v>9046143683</v>
      </c>
      <c r="AD109" s="169" t="s">
        <v>591</v>
      </c>
      <c r="AE109" s="176" t="s">
        <v>589</v>
      </c>
      <c r="AF109" s="176">
        <v>58786100</v>
      </c>
      <c r="AG109" s="154"/>
      <c r="AH109" s="154"/>
      <c r="AI109" s="169"/>
      <c r="AJ109" s="176"/>
    </row>
    <row r="110" spans="1:40">
      <c r="C110" s="150"/>
      <c r="D110" s="150"/>
      <c r="F110" s="169" t="s">
        <v>488</v>
      </c>
      <c r="G110" s="176">
        <v>756000</v>
      </c>
      <c r="H110" s="154"/>
      <c r="J110" s="169" t="s">
        <v>514</v>
      </c>
      <c r="K110" s="176">
        <v>3330800</v>
      </c>
      <c r="L110" s="169" t="s">
        <v>521</v>
      </c>
      <c r="M110" s="176">
        <v>711146</v>
      </c>
      <c r="N110" s="247"/>
      <c r="O110" s="247"/>
      <c r="P110" s="250" t="s">
        <v>437</v>
      </c>
      <c r="Q110" s="250"/>
      <c r="R110" s="250"/>
      <c r="S110" s="250" t="s">
        <v>439</v>
      </c>
      <c r="T110" s="250">
        <v>5617950</v>
      </c>
      <c r="U110" s="247"/>
      <c r="V110" s="247"/>
      <c r="W110" s="226" t="s">
        <v>532</v>
      </c>
      <c r="X110" s="176">
        <v>432000</v>
      </c>
      <c r="Y110" s="248" t="s">
        <v>599</v>
      </c>
      <c r="Z110" s="154">
        <v>16291070094</v>
      </c>
      <c r="AD110" s="169" t="s">
        <v>592</v>
      </c>
      <c r="AE110" s="176" t="s">
        <v>589</v>
      </c>
      <c r="AF110" s="176">
        <v>12601000</v>
      </c>
      <c r="AI110" s="169"/>
      <c r="AJ110" s="176"/>
    </row>
    <row r="111" spans="1:40">
      <c r="C111" s="150"/>
      <c r="D111" s="150"/>
      <c r="F111" s="169" t="s">
        <v>491</v>
      </c>
      <c r="G111" s="176">
        <v>1905000</v>
      </c>
      <c r="H111" s="154"/>
      <c r="I111" s="154"/>
      <c r="J111" s="169"/>
      <c r="K111" s="176"/>
      <c r="L111" s="169" t="s">
        <v>522</v>
      </c>
      <c r="M111" s="176">
        <v>432000</v>
      </c>
      <c r="O111" s="228"/>
      <c r="P111" s="396" t="s">
        <v>446</v>
      </c>
      <c r="Q111" s="396"/>
      <c r="R111" s="396"/>
      <c r="S111" s="396"/>
      <c r="T111" s="251">
        <f ca="1">SUM(T105:T117)</f>
        <v>1176654249</v>
      </c>
      <c r="U111" s="228"/>
      <c r="V111" s="229"/>
      <c r="W111" s="169" t="s">
        <v>533</v>
      </c>
      <c r="X111" s="176">
        <v>1506662</v>
      </c>
      <c r="Y111" s="154" t="s">
        <v>600</v>
      </c>
      <c r="Z111" s="154">
        <v>197348688</v>
      </c>
      <c r="AD111" s="169"/>
      <c r="AE111" s="176"/>
      <c r="AF111" s="176"/>
      <c r="AI111" s="169"/>
      <c r="AJ111" s="176"/>
      <c r="AN111" s="150" t="s">
        <v>108</v>
      </c>
    </row>
    <row r="112" spans="1:40">
      <c r="C112" s="150"/>
      <c r="D112" s="150"/>
      <c r="F112" s="169"/>
      <c r="G112" s="176"/>
      <c r="H112" s="154"/>
      <c r="I112" s="154"/>
      <c r="J112" s="169"/>
      <c r="K112" s="176"/>
      <c r="L112" s="169" t="s">
        <v>523</v>
      </c>
      <c r="M112" s="176">
        <v>1460000</v>
      </c>
      <c r="O112" s="228"/>
      <c r="P112" s="279"/>
      <c r="Q112" s="279"/>
      <c r="R112" s="279"/>
      <c r="S112" s="279"/>
      <c r="T112" s="251"/>
      <c r="U112" s="228"/>
      <c r="V112" s="229"/>
      <c r="W112" s="169" t="s">
        <v>534</v>
      </c>
      <c r="X112" s="176">
        <v>4745000</v>
      </c>
      <c r="Y112" s="154"/>
      <c r="Z112" s="154"/>
      <c r="AB112" s="150" t="s">
        <v>111</v>
      </c>
      <c r="AD112" s="169" t="s">
        <v>241</v>
      </c>
      <c r="AE112" s="176"/>
      <c r="AF112" s="176">
        <f>SUM(AF102:AF111)</f>
        <v>152375361</v>
      </c>
      <c r="AI112" s="169"/>
      <c r="AJ112" s="176"/>
    </row>
    <row r="113" spans="3:42">
      <c r="C113" s="150"/>
      <c r="D113" s="150"/>
      <c r="F113" s="169"/>
      <c r="G113" s="176"/>
      <c r="H113" s="154"/>
      <c r="I113" s="154"/>
      <c r="J113" s="169"/>
      <c r="K113" s="176"/>
      <c r="L113" s="169" t="s">
        <v>524</v>
      </c>
      <c r="M113" s="176">
        <v>1089999</v>
      </c>
      <c r="O113" s="228"/>
      <c r="P113" s="279"/>
      <c r="Q113" s="279"/>
      <c r="R113" s="279"/>
      <c r="S113" s="279"/>
      <c r="T113" s="251"/>
      <c r="U113" s="228"/>
      <c r="V113" s="229"/>
      <c r="W113" s="169"/>
      <c r="X113" s="176"/>
      <c r="Y113" s="154"/>
      <c r="Z113" s="154"/>
      <c r="AD113" s="169"/>
      <c r="AE113" s="176"/>
      <c r="AF113" s="176"/>
      <c r="AI113" s="169"/>
      <c r="AJ113" s="176"/>
    </row>
    <row r="114" spans="3:42">
      <c r="C114" s="150"/>
      <c r="D114" s="150"/>
      <c r="F114" s="169"/>
      <c r="G114" s="176"/>
      <c r="H114" s="154"/>
      <c r="I114" s="154"/>
      <c r="J114" s="169"/>
      <c r="K114" s="176"/>
      <c r="L114" s="169" t="s">
        <v>525</v>
      </c>
      <c r="M114" s="176">
        <v>500000</v>
      </c>
      <c r="O114" s="228"/>
      <c r="P114" s="279"/>
      <c r="Q114" s="279"/>
      <c r="R114" s="279"/>
      <c r="S114" s="279"/>
      <c r="T114" s="251"/>
      <c r="U114" s="228"/>
      <c r="V114" s="229"/>
      <c r="W114" s="169" t="s">
        <v>241</v>
      </c>
      <c r="X114" s="272">
        <f>SUM(X109:X113)</f>
        <v>11683662</v>
      </c>
      <c r="Y114" s="154"/>
      <c r="Z114" s="154"/>
      <c r="AA114" s="150" t="s">
        <v>112</v>
      </c>
      <c r="AD114" s="287"/>
      <c r="AE114" s="288"/>
      <c r="AI114" s="169"/>
      <c r="AJ114" s="176"/>
    </row>
    <row r="115" spans="3:42">
      <c r="C115" s="150"/>
      <c r="D115" s="150"/>
      <c r="F115" s="169" t="s">
        <v>489</v>
      </c>
      <c r="G115" s="176">
        <v>3293250</v>
      </c>
      <c r="I115" s="154"/>
      <c r="J115" s="169"/>
      <c r="K115" s="176"/>
      <c r="L115" s="169" t="s">
        <v>526</v>
      </c>
      <c r="M115" s="176">
        <v>15000000</v>
      </c>
      <c r="N115" s="247"/>
      <c r="O115" s="247"/>
      <c r="P115" s="250" t="s">
        <v>440</v>
      </c>
      <c r="Q115" s="250"/>
      <c r="R115" s="250"/>
      <c r="S115" s="250" t="s">
        <v>441</v>
      </c>
      <c r="T115" s="250">
        <v>32809000</v>
      </c>
      <c r="U115" s="247"/>
      <c r="V115" s="247"/>
      <c r="W115" s="226"/>
      <c r="X115" s="169"/>
      <c r="Y115" s="248"/>
      <c r="Z115" s="248"/>
      <c r="AD115" s="169"/>
      <c r="AE115" s="176"/>
      <c r="AI115" s="169"/>
      <c r="AJ115" s="176"/>
      <c r="AM115" s="150" t="s">
        <v>111</v>
      </c>
    </row>
    <row r="116" spans="3:42">
      <c r="C116" s="150"/>
      <c r="D116" s="150"/>
      <c r="F116" s="169"/>
      <c r="G116" s="176"/>
      <c r="I116" s="154"/>
      <c r="J116" s="169"/>
      <c r="K116" s="176"/>
      <c r="L116" s="169"/>
      <c r="M116" s="176"/>
      <c r="N116" s="247"/>
      <c r="O116" s="247"/>
      <c r="P116" s="250"/>
      <c r="Q116" s="250"/>
      <c r="R116" s="250"/>
      <c r="S116" s="250"/>
      <c r="T116" s="250"/>
      <c r="U116" s="247"/>
      <c r="V116" s="247"/>
      <c r="W116" s="226"/>
      <c r="X116" s="169"/>
      <c r="Y116" s="154"/>
      <c r="Z116" s="154"/>
      <c r="AA116" s="150" t="s">
        <v>112</v>
      </c>
      <c r="AD116" s="169"/>
      <c r="AE116" s="176"/>
      <c r="AI116" s="169"/>
      <c r="AJ116" s="176"/>
    </row>
    <row r="117" spans="3:42">
      <c r="C117" s="150"/>
      <c r="D117" s="150"/>
      <c r="E117" s="150" t="s">
        <v>111</v>
      </c>
      <c r="F117" s="169" t="s">
        <v>490</v>
      </c>
      <c r="G117" s="176">
        <v>5729600</v>
      </c>
      <c r="I117" s="154"/>
      <c r="J117" s="169" t="s">
        <v>241</v>
      </c>
      <c r="K117" s="176">
        <f>SUM(K105:K115)</f>
        <v>39930800</v>
      </c>
      <c r="L117" s="169" t="s">
        <v>241</v>
      </c>
      <c r="M117" s="176">
        <f>SUM(M105:M115)</f>
        <v>37496422</v>
      </c>
      <c r="N117" s="247"/>
      <c r="O117" s="247"/>
      <c r="P117" s="250" t="s">
        <v>440</v>
      </c>
      <c r="Q117" s="250"/>
      <c r="R117" s="250"/>
      <c r="S117" s="250" t="s">
        <v>442</v>
      </c>
      <c r="T117" s="250">
        <v>6107500</v>
      </c>
      <c r="U117" s="247"/>
      <c r="V117" s="247"/>
      <c r="W117" s="226"/>
      <c r="X117" s="169"/>
      <c r="Y117" s="248"/>
      <c r="Z117" s="248"/>
      <c r="AD117" s="169"/>
      <c r="AE117" s="176"/>
      <c r="AI117" s="169"/>
      <c r="AJ117" s="176"/>
    </row>
    <row r="118" spans="3:42">
      <c r="C118" s="150"/>
      <c r="D118" s="154"/>
      <c r="E118" s="154">
        <v>3913100</v>
      </c>
      <c r="F118" s="169"/>
      <c r="G118" s="176"/>
      <c r="I118" s="154"/>
      <c r="J118" s="193"/>
      <c r="O118" s="228"/>
      <c r="P118" s="248"/>
      <c r="Q118" s="248"/>
      <c r="R118" s="248"/>
      <c r="S118" s="248"/>
      <c r="T118" s="248"/>
      <c r="U118" s="248"/>
      <c r="V118" s="228"/>
      <c r="W118" s="248"/>
      <c r="X118" s="248"/>
      <c r="Y118" s="154"/>
      <c r="Z118" s="154"/>
      <c r="AA118" s="154"/>
      <c r="AD118" s="169"/>
      <c r="AE118" s="176"/>
      <c r="AI118" s="169"/>
      <c r="AJ118" s="176"/>
    </row>
    <row r="119" spans="3:42">
      <c r="D119" s="193" t="s">
        <v>111</v>
      </c>
      <c r="E119" s="154">
        <v>5857200</v>
      </c>
      <c r="F119" s="169" t="s">
        <v>241</v>
      </c>
      <c r="G119" s="176">
        <f>SUM(G105:G118)</f>
        <v>15203666</v>
      </c>
      <c r="H119" s="154"/>
      <c r="I119" s="154"/>
      <c r="J119" s="193"/>
      <c r="P119" s="247"/>
      <c r="Q119" s="247"/>
      <c r="R119" s="247"/>
      <c r="S119" s="247"/>
      <c r="T119" s="154"/>
      <c r="U119" s="154"/>
      <c r="W119" s="154"/>
      <c r="X119" s="154"/>
      <c r="Y119" s="154"/>
      <c r="Z119" s="154"/>
      <c r="AA119" s="154" t="s">
        <v>111</v>
      </c>
      <c r="AD119" s="169"/>
      <c r="AE119" s="176"/>
      <c r="AI119" s="192"/>
      <c r="AJ119" s="227"/>
    </row>
    <row r="120" spans="3:42">
      <c r="D120" s="193"/>
      <c r="E120" s="154">
        <v>4120000</v>
      </c>
      <c r="G120" s="154"/>
      <c r="H120" s="154"/>
      <c r="I120" s="154"/>
      <c r="J120" s="193"/>
      <c r="P120" s="154"/>
      <c r="Q120" s="154"/>
      <c r="R120" s="154"/>
      <c r="S120" s="154"/>
      <c r="T120" s="154"/>
      <c r="U120" s="154"/>
      <c r="W120" s="248"/>
      <c r="X120" s="248"/>
      <c r="Y120" s="248"/>
      <c r="Z120" s="248"/>
      <c r="AA120" s="154"/>
      <c r="AD120" s="169"/>
      <c r="AE120" s="176"/>
      <c r="AJ120" s="154"/>
    </row>
    <row r="121" spans="3:42">
      <c r="D121" s="193"/>
      <c r="E121" s="154">
        <v>1750000</v>
      </c>
      <c r="G121" s="154"/>
      <c r="H121" s="154"/>
      <c r="I121" s="154"/>
      <c r="J121" s="193"/>
      <c r="L121" s="154"/>
      <c r="M121" s="154"/>
      <c r="P121" s="154"/>
      <c r="Q121" s="154"/>
      <c r="R121" s="154"/>
      <c r="S121" s="154"/>
      <c r="T121" s="154"/>
      <c r="U121" s="154"/>
      <c r="W121" s="154"/>
      <c r="X121" s="154"/>
      <c r="Y121" s="154"/>
      <c r="Z121" s="154"/>
      <c r="AA121" s="154"/>
      <c r="AD121" s="192" t="s">
        <v>241</v>
      </c>
      <c r="AE121" s="227">
        <f>SUM(AE101:AE119)</f>
        <v>0</v>
      </c>
      <c r="AJ121" s="154"/>
      <c r="AL121" s="150" t="s">
        <v>112</v>
      </c>
    </row>
    <row r="122" spans="3:42">
      <c r="D122" s="193"/>
      <c r="E122" s="154">
        <v>1350000</v>
      </c>
      <c r="H122" s="154"/>
      <c r="I122" s="154"/>
      <c r="K122" s="193">
        <v>210466616</v>
      </c>
      <c r="L122" s="154">
        <v>883437017</v>
      </c>
      <c r="M122" s="154">
        <v>157496882</v>
      </c>
      <c r="N122" s="154"/>
      <c r="O122" s="154"/>
      <c r="P122" s="154"/>
      <c r="Q122" s="154"/>
      <c r="R122" s="154"/>
      <c r="S122" s="154"/>
      <c r="T122" s="154"/>
      <c r="U122" s="154"/>
      <c r="W122" s="248"/>
      <c r="X122" s="248"/>
      <c r="Y122" s="248"/>
      <c r="Z122" s="248"/>
      <c r="AA122" s="154"/>
      <c r="AG122" s="154">
        <v>202787778</v>
      </c>
      <c r="AH122" s="154">
        <v>168013836</v>
      </c>
      <c r="AI122" s="154">
        <v>88797176</v>
      </c>
      <c r="AJ122" s="154">
        <v>287208700</v>
      </c>
      <c r="AP122" s="150" t="s">
        <v>108</v>
      </c>
    </row>
    <row r="123" spans="3:42">
      <c r="D123" s="193"/>
      <c r="E123" s="154">
        <v>27759800</v>
      </c>
      <c r="H123" s="154"/>
      <c r="I123" s="154"/>
      <c r="K123" s="193" t="e">
        <f ca="1">[3]!terbilang(K122)</f>
        <v>#NAME?</v>
      </c>
      <c r="L123" s="193" t="e">
        <f ca="1">[3]!terbilang(L122)</f>
        <v>#NAME?</v>
      </c>
      <c r="M123" s="193" t="e">
        <f ca="1">[3]!terbilang(M122)</f>
        <v>#NAME?</v>
      </c>
      <c r="N123" s="154"/>
      <c r="O123" s="154"/>
      <c r="P123" s="154"/>
      <c r="Q123" s="154"/>
      <c r="R123" s="154"/>
      <c r="S123" s="154"/>
      <c r="T123" s="154"/>
      <c r="U123" s="154"/>
      <c r="W123" s="154"/>
      <c r="X123" s="154"/>
      <c r="Y123" s="154"/>
      <c r="Z123" s="154"/>
      <c r="AA123" s="154"/>
      <c r="AD123" s="150" t="s">
        <v>415</v>
      </c>
      <c r="AF123" s="154">
        <v>1000000000</v>
      </c>
      <c r="AG123" s="154" t="e">
        <f ca="1">[3]!terbilang(AG122)</f>
        <v>#NAME?</v>
      </c>
      <c r="AH123" s="154" t="e">
        <f ca="1">[3]!terbilang(AH122)</f>
        <v>#NAME?</v>
      </c>
      <c r="AI123" s="154" t="e">
        <f ca="1">[3]!terbilang(AI122)</f>
        <v>#NAME?</v>
      </c>
      <c r="AJ123" s="154" t="e">
        <f ca="1">[3]!terbilang(AJ122)</f>
        <v>#NAME?</v>
      </c>
    </row>
    <row r="124" spans="3:42">
      <c r="C124" s="150"/>
      <c r="D124" s="154"/>
      <c r="E124" s="154">
        <v>27759800</v>
      </c>
      <c r="H124" s="154"/>
      <c r="I124" s="154"/>
      <c r="K124" s="193">
        <v>13153375</v>
      </c>
      <c r="L124" s="154">
        <v>11636742</v>
      </c>
      <c r="M124" s="154">
        <v>6384387</v>
      </c>
      <c r="N124" s="154"/>
      <c r="O124" s="154"/>
      <c r="P124" s="154"/>
      <c r="Q124" s="154"/>
      <c r="R124" s="154"/>
      <c r="S124" s="154"/>
      <c r="T124" s="154"/>
      <c r="U124" s="154"/>
      <c r="W124" s="248"/>
      <c r="X124" s="154"/>
      <c r="Y124" s="154"/>
      <c r="Z124" s="154"/>
      <c r="AA124" s="154"/>
      <c r="AE124" s="154">
        <v>160312320</v>
      </c>
      <c r="AF124" s="154" t="e">
        <f ca="1">[3]!terbilang(AF123)</f>
        <v>#NAME?</v>
      </c>
      <c r="AG124" s="154"/>
      <c r="AH124" s="154"/>
      <c r="AI124" s="154"/>
      <c r="AJ124" s="154"/>
    </row>
    <row r="125" spans="3:42">
      <c r="C125" s="150"/>
      <c r="D125" s="154"/>
      <c r="E125" s="154">
        <v>27759800</v>
      </c>
      <c r="G125" s="154">
        <v>2941161888</v>
      </c>
      <c r="H125" s="154"/>
      <c r="I125" s="154">
        <v>500000000</v>
      </c>
      <c r="J125" s="193"/>
      <c r="K125" s="193" t="e">
        <f ca="1">[3]!terbilang(K124)</f>
        <v>#NAME?</v>
      </c>
      <c r="L125" s="193" t="e">
        <f ca="1">[3]!terbilang(L124)</f>
        <v>#NAME?</v>
      </c>
      <c r="M125" s="193" t="e">
        <f ca="1">[3]!terbilang(M124)</f>
        <v>#NAME?</v>
      </c>
      <c r="N125" s="193"/>
      <c r="O125" s="193"/>
      <c r="P125" s="193"/>
      <c r="Q125" s="154"/>
      <c r="R125" s="154"/>
      <c r="S125" s="154"/>
      <c r="T125" s="154"/>
      <c r="U125" s="154"/>
      <c r="W125" s="154"/>
      <c r="X125" s="154"/>
      <c r="Y125" s="154"/>
      <c r="Z125" s="154"/>
      <c r="AA125" s="154"/>
      <c r="AE125" s="154" t="e">
        <f ca="1">[3]!terbilang(AE124)</f>
        <v>#NAME?</v>
      </c>
      <c r="AF125" s="154"/>
      <c r="AG125" s="154"/>
      <c r="AH125" s="154"/>
      <c r="AI125" s="154"/>
      <c r="AJ125" s="154"/>
    </row>
    <row r="126" spans="3:42">
      <c r="D126" s="193"/>
      <c r="F126" s="219"/>
      <c r="G126" s="154" t="e">
        <f ca="1">[3]!terbilang(G125)</f>
        <v>#NAME?</v>
      </c>
      <c r="H126" s="154">
        <v>43053981</v>
      </c>
      <c r="I126" s="154" t="e">
        <f ca="1">[3]!terbilang(I125)</f>
        <v>#NAME?</v>
      </c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W126" s="154"/>
      <c r="X126" s="154"/>
      <c r="Y126" s="248" t="e">
        <f ca="1">[3]!terbilang(Y123)</f>
        <v>#NAME?</v>
      </c>
      <c r="Z126" s="154" t="s">
        <v>111</v>
      </c>
      <c r="AA126" s="154"/>
      <c r="AE126" s="154">
        <v>17329877</v>
      </c>
      <c r="AF126" s="154"/>
      <c r="AG126" s="154"/>
      <c r="AH126" s="154"/>
      <c r="AI126" s="154"/>
      <c r="AJ126" s="154"/>
    </row>
    <row r="127" spans="3:42">
      <c r="G127" s="154"/>
      <c r="H127" s="193" t="e">
        <f ca="1">[3]!terbilang(H126)</f>
        <v>#NAME?</v>
      </c>
      <c r="I127" s="193">
        <v>1089999</v>
      </c>
      <c r="J127" s="193"/>
      <c r="K127" s="193"/>
      <c r="L127" s="401" t="s">
        <v>547</v>
      </c>
      <c r="M127" s="401"/>
      <c r="N127" s="401"/>
      <c r="O127" s="154"/>
      <c r="P127" s="401" t="s">
        <v>564</v>
      </c>
      <c r="Q127" s="401"/>
      <c r="R127" s="401"/>
      <c r="S127" s="154"/>
      <c r="T127" s="154"/>
      <c r="U127" s="154"/>
      <c r="W127" s="248"/>
      <c r="X127" s="248"/>
      <c r="Y127" s="154"/>
      <c r="Z127" s="154"/>
      <c r="AA127" s="154"/>
      <c r="AE127" s="154" t="e">
        <f ca="1">[3]!terbilang(AE126)</f>
        <v>#NAME?</v>
      </c>
      <c r="AF127" s="154"/>
      <c r="AG127" s="154"/>
      <c r="AH127" s="154"/>
      <c r="AI127" s="154"/>
      <c r="AJ127" s="154"/>
    </row>
    <row r="128" spans="3:42">
      <c r="G128" s="154"/>
      <c r="H128" s="154"/>
      <c r="I128" s="154"/>
      <c r="J128" s="154"/>
      <c r="K128" s="154"/>
      <c r="L128" s="176" t="s">
        <v>230</v>
      </c>
      <c r="M128" s="176" t="s">
        <v>444</v>
      </c>
      <c r="N128" s="176" t="s">
        <v>445</v>
      </c>
      <c r="O128" s="154"/>
      <c r="P128" s="176" t="s">
        <v>230</v>
      </c>
      <c r="Q128" s="176" t="s">
        <v>444</v>
      </c>
      <c r="R128" s="176" t="s">
        <v>445</v>
      </c>
      <c r="S128" s="154"/>
      <c r="T128" s="154"/>
      <c r="U128" s="154"/>
      <c r="W128" s="154"/>
      <c r="X128" s="154"/>
      <c r="Y128" s="248" t="e">
        <f ca="1">[3]!terbilang(Y127)</f>
        <v>#NAME?</v>
      </c>
      <c r="Z128" s="248"/>
      <c r="AA128" s="154"/>
      <c r="AB128" s="154"/>
      <c r="AE128" s="154"/>
      <c r="AF128" s="154"/>
      <c r="AG128" s="154"/>
      <c r="AH128" s="154"/>
      <c r="AI128" s="154"/>
      <c r="AJ128" s="154"/>
    </row>
    <row r="129" spans="3:36">
      <c r="D129" s="193">
        <v>666854819</v>
      </c>
      <c r="E129" s="154">
        <v>4046905</v>
      </c>
      <c r="F129" s="154">
        <v>3396530146</v>
      </c>
      <c r="G129" s="154"/>
      <c r="H129" s="193"/>
      <c r="I129" s="154"/>
      <c r="J129" s="154"/>
      <c r="K129" s="154"/>
      <c r="L129" s="176" t="s">
        <v>548</v>
      </c>
      <c r="M129" s="176" t="s">
        <v>549</v>
      </c>
      <c r="N129" s="176">
        <v>60794473</v>
      </c>
      <c r="P129" s="176" t="s">
        <v>565</v>
      </c>
      <c r="Q129" s="176" t="s">
        <v>566</v>
      </c>
      <c r="R129" s="176">
        <v>7500000</v>
      </c>
      <c r="S129" s="154"/>
      <c r="T129" s="154"/>
      <c r="U129" s="154"/>
      <c r="W129" s="248"/>
      <c r="X129" s="248"/>
      <c r="Z129" s="154"/>
      <c r="AA129" s="154"/>
      <c r="AB129" s="154"/>
      <c r="AE129" s="154"/>
      <c r="AF129" s="154"/>
      <c r="AG129" s="154"/>
      <c r="AH129" s="154"/>
      <c r="AI129" s="154"/>
      <c r="AJ129" s="154"/>
    </row>
    <row r="130" spans="3:36">
      <c r="D130" s="193" t="e">
        <f ca="1">[3]!terbilang(D129)</f>
        <v>#NAME?</v>
      </c>
      <c r="E130" s="193" t="e">
        <f ca="1">[3]!terbilang(E129)</f>
        <v>#NAME?</v>
      </c>
      <c r="F130" s="193" t="e">
        <f ca="1">[3]!terbilang(F129)</f>
        <v>#NAME?</v>
      </c>
      <c r="G130" s="154"/>
      <c r="H130" s="154"/>
      <c r="I130" s="154"/>
      <c r="J130" s="154"/>
      <c r="K130" s="154"/>
      <c r="L130" s="176" t="s">
        <v>548</v>
      </c>
      <c r="M130" s="176" t="s">
        <v>550</v>
      </c>
      <c r="N130" s="176">
        <v>7848418</v>
      </c>
      <c r="P130" s="176"/>
      <c r="Q130" s="176"/>
      <c r="R130" s="176"/>
      <c r="S130" s="154"/>
      <c r="T130" s="154"/>
      <c r="U130" s="154"/>
      <c r="X130" s="154"/>
      <c r="Z130" s="154"/>
      <c r="AA130" s="154">
        <v>136783452</v>
      </c>
      <c r="AB130" s="154">
        <v>86757295</v>
      </c>
      <c r="AC130" s="154">
        <v>25921941</v>
      </c>
      <c r="AD130" s="154">
        <v>4790908349</v>
      </c>
      <c r="AE130" s="154"/>
      <c r="AF130" s="154"/>
      <c r="AG130" s="154"/>
      <c r="AH130" s="154"/>
      <c r="AI130" s="154"/>
      <c r="AJ130" s="154"/>
    </row>
    <row r="131" spans="3:36">
      <c r="D131" s="193">
        <v>1953978009</v>
      </c>
      <c r="E131" s="193">
        <v>34450092</v>
      </c>
      <c r="F131" s="193">
        <v>3156669396</v>
      </c>
      <c r="G131" s="193"/>
      <c r="H131" s="193"/>
      <c r="I131" s="154"/>
      <c r="J131" s="154"/>
      <c r="K131" s="154"/>
      <c r="L131" s="176" t="s">
        <v>551</v>
      </c>
      <c r="M131" s="169" t="s">
        <v>552</v>
      </c>
      <c r="N131" s="176">
        <v>9685742</v>
      </c>
      <c r="P131" s="176"/>
      <c r="Q131" s="169"/>
      <c r="R131" s="176"/>
      <c r="W131" s="154"/>
      <c r="X131" s="154">
        <v>30000</v>
      </c>
      <c r="Z131" s="154"/>
      <c r="AA131" s="154" t="e">
        <f ca="1">[3]!terbilang(AA130)</f>
        <v>#NAME?</v>
      </c>
      <c r="AB131" s="154" t="e">
        <f ca="1">[3]!terbilang(AB130)</f>
        <v>#NAME?</v>
      </c>
      <c r="AC131" s="154" t="e">
        <f ca="1">[3]!terbilang(AC130)</f>
        <v>#NAME?</v>
      </c>
      <c r="AD131" s="154" t="e">
        <f ca="1">[3]!terbilang(AD130)</f>
        <v>#NAME?</v>
      </c>
      <c r="AE131" s="154" t="e">
        <f ca="1">[3]!terbilang(AE130)</f>
        <v>#NAME?</v>
      </c>
      <c r="AF131" s="154"/>
      <c r="AG131" s="154"/>
      <c r="AH131" s="154"/>
      <c r="AI131" s="154"/>
      <c r="AJ131" s="154"/>
    </row>
    <row r="132" spans="3:36">
      <c r="D132" s="193" t="e">
        <f ca="1">[3]!terbilang(D131)</f>
        <v>#NAME?</v>
      </c>
      <c r="E132" s="193" t="e">
        <f ca="1">[3]!terbilang(E131)</f>
        <v>#NAME?</v>
      </c>
      <c r="F132" s="193" t="e">
        <f ca="1">[3]!terbilang(F131)</f>
        <v>#NAME?</v>
      </c>
      <c r="G132" s="193" t="e">
        <f ca="1">[3]!terbilang(G131)</f>
        <v>#NAME?</v>
      </c>
      <c r="H132" s="154"/>
      <c r="I132" s="154"/>
      <c r="J132" s="193"/>
      <c r="K132" s="193"/>
      <c r="L132" s="176" t="s">
        <v>551</v>
      </c>
      <c r="M132" s="169" t="s">
        <v>553</v>
      </c>
      <c r="N132" s="176">
        <v>102022038</v>
      </c>
      <c r="P132" s="176"/>
      <c r="Q132" s="169"/>
      <c r="R132" s="176"/>
      <c r="T132" s="154"/>
      <c r="W132" s="248"/>
      <c r="X132" s="248" t="e">
        <f ca="1">[3]!terbilang(X131)</f>
        <v>#NAME?</v>
      </c>
      <c r="Z132" s="154"/>
      <c r="AA132" s="154">
        <v>1070000</v>
      </c>
      <c r="AB132" s="154">
        <v>8701000</v>
      </c>
      <c r="AC132" s="154">
        <v>129897518</v>
      </c>
      <c r="AD132" s="154">
        <v>4849760</v>
      </c>
      <c r="AF132" s="154"/>
    </row>
    <row r="133" spans="3:36">
      <c r="D133" s="193">
        <v>1746463178</v>
      </c>
      <c r="E133" s="193"/>
      <c r="F133" s="193"/>
      <c r="G133" s="193"/>
      <c r="H133" s="193"/>
      <c r="I133" s="154"/>
      <c r="J133" s="154"/>
      <c r="K133" s="154"/>
      <c r="L133" s="176" t="s">
        <v>554</v>
      </c>
      <c r="M133" s="169" t="s">
        <v>555</v>
      </c>
      <c r="N133" s="176">
        <v>880500</v>
      </c>
      <c r="P133" s="176"/>
      <c r="Q133" s="169"/>
      <c r="R133" s="176"/>
      <c r="T133" s="154"/>
      <c r="W133" s="154"/>
      <c r="X133" s="154">
        <v>3987154343</v>
      </c>
      <c r="Z133" s="154"/>
      <c r="AA133" s="154" t="e">
        <f ca="1">[3]!terbilang(AA132)</f>
        <v>#NAME?</v>
      </c>
      <c r="AB133" s="154" t="e">
        <f ca="1">[3]!terbilang(AB132)</f>
        <v>#NAME?</v>
      </c>
      <c r="AC133" s="154" t="e">
        <f ca="1">[3]!terbilang(AC132)</f>
        <v>#NAME?</v>
      </c>
      <c r="AD133" s="154" t="e">
        <f ca="1">[3]!terbilang(AD132)</f>
        <v>#NAME?</v>
      </c>
      <c r="AE133" s="154" t="e">
        <f ca="1">[3]!terbilang(AE132)</f>
        <v>#NAME?</v>
      </c>
    </row>
    <row r="134" spans="3:36">
      <c r="C134" s="150"/>
      <c r="D134" s="193" t="e">
        <f ca="1">[3]!terbilang(D133)</f>
        <v>#NAME?</v>
      </c>
      <c r="E134" s="154"/>
      <c r="F134" s="154"/>
      <c r="G134" s="154"/>
      <c r="H134" s="154"/>
      <c r="I134" s="154"/>
      <c r="J134" s="193"/>
      <c r="K134" s="193"/>
      <c r="L134" s="176" t="s">
        <v>556</v>
      </c>
      <c r="M134" s="169" t="s">
        <v>557</v>
      </c>
      <c r="N134" s="176">
        <v>2200000</v>
      </c>
      <c r="P134" s="176"/>
      <c r="Q134" s="169"/>
      <c r="R134" s="176"/>
      <c r="T134" s="154"/>
      <c r="W134" s="248"/>
      <c r="X134" s="248" t="e">
        <f ca="1">[3]!terbilang(X133)</f>
        <v>#NAME?</v>
      </c>
      <c r="Z134" s="154"/>
      <c r="AA134" s="154">
        <v>984292</v>
      </c>
      <c r="AB134" s="154">
        <v>1320621</v>
      </c>
      <c r="AC134" s="154">
        <v>1365000</v>
      </c>
      <c r="AD134" s="154">
        <v>4499999</v>
      </c>
      <c r="AE134" s="150">
        <v>3132000</v>
      </c>
      <c r="AG134" s="154"/>
      <c r="AH134" s="154"/>
    </row>
    <row r="135" spans="3:36">
      <c r="C135" s="150"/>
      <c r="D135" s="193"/>
      <c r="E135" s="193"/>
      <c r="F135" s="193"/>
      <c r="G135" s="193"/>
      <c r="H135" s="154"/>
      <c r="I135" s="154"/>
      <c r="J135" s="154"/>
      <c r="K135" s="154"/>
      <c r="L135" s="176" t="s">
        <v>558</v>
      </c>
      <c r="M135" s="169" t="s">
        <v>559</v>
      </c>
      <c r="N135" s="176">
        <v>2500000</v>
      </c>
      <c r="P135" s="176"/>
      <c r="Q135" s="169"/>
      <c r="R135" s="176"/>
      <c r="T135" s="154"/>
      <c r="W135" s="154"/>
      <c r="X135" s="154"/>
      <c r="AA135" s="154" t="e">
        <f ca="1">[3]!terbilang(AA134)</f>
        <v>#NAME?</v>
      </c>
      <c r="AB135" s="154" t="e">
        <f ca="1">[3]!terbilang(AB134)</f>
        <v>#NAME?</v>
      </c>
      <c r="AC135" s="154" t="e">
        <f ca="1">[3]!terbilang(AC134)</f>
        <v>#NAME?</v>
      </c>
      <c r="AD135" s="154" t="e">
        <f ca="1">[3]!terbilang(AD134)</f>
        <v>#NAME?</v>
      </c>
      <c r="AE135" s="154" t="e">
        <f ca="1">[3]!terbilang(AE134)</f>
        <v>#NAME?</v>
      </c>
      <c r="AF135" s="154"/>
      <c r="AG135" s="154"/>
      <c r="AH135" s="154"/>
    </row>
    <row r="136" spans="3:36">
      <c r="C136" s="150"/>
      <c r="D136" s="193"/>
      <c r="E136" s="193"/>
      <c r="F136" s="193"/>
      <c r="G136" s="193"/>
      <c r="H136" s="154"/>
      <c r="I136" s="154"/>
      <c r="J136" s="154"/>
      <c r="K136" s="154"/>
      <c r="L136" s="176" t="s">
        <v>560</v>
      </c>
      <c r="M136" s="169" t="s">
        <v>561</v>
      </c>
      <c r="N136" s="176">
        <v>4086600</v>
      </c>
      <c r="P136" s="176"/>
      <c r="Q136" s="169"/>
      <c r="R136" s="176"/>
      <c r="T136" s="154"/>
      <c r="W136" s="154"/>
      <c r="X136" s="154"/>
      <c r="Z136" s="154"/>
      <c r="AA136" s="154"/>
      <c r="AB136" s="154"/>
      <c r="AC136" s="154"/>
      <c r="AD136" s="154"/>
      <c r="AG136" s="154"/>
      <c r="AH136" s="154"/>
    </row>
    <row r="137" spans="3:36">
      <c r="C137" s="150"/>
      <c r="D137" s="193"/>
      <c r="E137" s="193"/>
      <c r="F137" s="193"/>
      <c r="G137" s="193"/>
      <c r="H137" s="154"/>
      <c r="I137" s="154"/>
      <c r="J137" s="154"/>
      <c r="K137" s="154"/>
      <c r="L137" s="176" t="s">
        <v>469</v>
      </c>
      <c r="M137" s="169" t="s">
        <v>561</v>
      </c>
      <c r="N137" s="176">
        <v>3690000</v>
      </c>
      <c r="P137" s="176"/>
      <c r="Q137" s="169"/>
      <c r="R137" s="176"/>
      <c r="T137" s="154"/>
      <c r="W137" s="154"/>
      <c r="X137" s="154"/>
      <c r="AA137" s="154"/>
      <c r="AB137" s="154"/>
      <c r="AC137" s="154"/>
      <c r="AD137" s="154"/>
      <c r="AG137" s="154"/>
      <c r="AH137" s="154"/>
    </row>
    <row r="138" spans="3:36">
      <c r="C138" s="150"/>
      <c r="D138" s="193" t="s">
        <v>544</v>
      </c>
      <c r="E138" s="154"/>
      <c r="F138" s="154"/>
      <c r="G138" s="154"/>
      <c r="H138" s="154"/>
      <c r="I138" s="154"/>
      <c r="J138" s="193"/>
      <c r="K138" s="193"/>
      <c r="L138" s="176" t="s">
        <v>471</v>
      </c>
      <c r="M138" s="169" t="s">
        <v>561</v>
      </c>
      <c r="N138" s="176">
        <v>3690000</v>
      </c>
      <c r="P138" s="176"/>
      <c r="Q138" s="169"/>
      <c r="R138" s="176"/>
      <c r="T138" s="154"/>
      <c r="V138" s="185"/>
      <c r="W138" s="248"/>
      <c r="X138" s="248" t="e">
        <f ca="1">[3]!terbilang(X135)</f>
        <v>#NAME?</v>
      </c>
      <c r="Z138" s="154"/>
      <c r="AA138" s="154"/>
      <c r="AB138" s="154"/>
      <c r="AC138" s="154"/>
      <c r="AD138" s="154"/>
      <c r="AG138" s="154"/>
      <c r="AH138" s="154"/>
    </row>
    <row r="139" spans="3:36">
      <c r="C139" s="150"/>
      <c r="D139" s="193" t="s">
        <v>543</v>
      </c>
      <c r="E139" s="154"/>
      <c r="F139" s="154"/>
      <c r="G139" s="154"/>
      <c r="H139" s="154"/>
      <c r="I139" s="154"/>
      <c r="K139" s="193"/>
      <c r="L139" s="176" t="s">
        <v>562</v>
      </c>
      <c r="M139" s="169" t="s">
        <v>561</v>
      </c>
      <c r="N139" s="176">
        <v>7905800</v>
      </c>
      <c r="P139" s="176"/>
      <c r="Q139" s="169"/>
      <c r="R139" s="176"/>
      <c r="T139" s="154"/>
      <c r="W139" s="154"/>
      <c r="X139" s="154"/>
      <c r="AA139" s="154"/>
      <c r="AB139" s="154"/>
      <c r="AC139" s="154"/>
      <c r="AD139" s="154"/>
      <c r="AE139" s="154"/>
      <c r="AF139" s="154"/>
      <c r="AG139" s="154"/>
      <c r="AH139" s="154"/>
    </row>
    <row r="140" spans="3:36">
      <c r="C140" s="150"/>
      <c r="D140" s="193" t="s">
        <v>542</v>
      </c>
      <c r="E140" s="154"/>
      <c r="F140" s="154"/>
      <c r="G140" s="154"/>
      <c r="H140" s="154"/>
      <c r="J140" s="154"/>
      <c r="K140" s="154"/>
      <c r="L140" s="227" t="s">
        <v>563</v>
      </c>
      <c r="M140" s="192"/>
      <c r="N140" s="227">
        <f>SUM(N129:N139)</f>
        <v>205303571</v>
      </c>
      <c r="P140" s="227" t="s">
        <v>563</v>
      </c>
      <c r="Q140" s="192"/>
      <c r="R140" s="227">
        <f>SUM(R129:R139)</f>
        <v>7500000</v>
      </c>
      <c r="T140" s="154"/>
      <c r="W140" s="248"/>
      <c r="X140" s="248" t="e">
        <f ca="1">[3]!terbilang(X139)</f>
        <v>#NAME?</v>
      </c>
      <c r="Z140" s="154"/>
      <c r="AA140" s="248"/>
      <c r="AB140" s="154"/>
      <c r="AC140" s="154"/>
      <c r="AD140" s="154"/>
      <c r="AF140" s="154"/>
      <c r="AG140" s="154"/>
      <c r="AH140" s="154"/>
    </row>
    <row r="141" spans="3:36">
      <c r="C141" s="150"/>
      <c r="D141" s="193"/>
      <c r="E141" s="193"/>
      <c r="F141" s="193"/>
      <c r="G141" s="193"/>
      <c r="H141" s="154"/>
      <c r="J141" s="193"/>
      <c r="K141" s="193"/>
      <c r="L141" s="154"/>
      <c r="N141" s="154"/>
      <c r="P141" s="154"/>
      <c r="Q141" s="154"/>
      <c r="R141" s="154"/>
      <c r="T141" s="154"/>
      <c r="Z141" s="154"/>
      <c r="AA141" s="154"/>
      <c r="AB141" s="154"/>
      <c r="AC141" s="154"/>
      <c r="AD141" s="154"/>
      <c r="AE141" s="154"/>
      <c r="AF141" s="154"/>
      <c r="AG141" s="154"/>
      <c r="AH141" s="154"/>
    </row>
    <row r="142" spans="3:36">
      <c r="C142" s="150"/>
      <c r="D142" s="193"/>
      <c r="E142" s="154"/>
      <c r="F142" s="154"/>
      <c r="G142" s="154"/>
      <c r="H142" s="154"/>
      <c r="J142" s="193"/>
      <c r="K142" s="193"/>
      <c r="L142" s="154"/>
      <c r="N142" s="154"/>
      <c r="P142" s="154"/>
      <c r="Q142" s="154"/>
      <c r="R142" s="154"/>
      <c r="T142" s="154"/>
      <c r="V142" s="185"/>
      <c r="X142" s="154"/>
      <c r="Z142" s="154"/>
      <c r="AA142" s="154"/>
      <c r="AB142" s="154"/>
      <c r="AC142" s="154"/>
      <c r="AD142" s="154"/>
      <c r="AG142" s="154"/>
      <c r="AH142" s="154"/>
    </row>
    <row r="143" spans="3:36">
      <c r="C143" s="150"/>
      <c r="D143" s="193"/>
      <c r="E143" s="193"/>
      <c r="F143" s="193"/>
      <c r="G143" s="193"/>
      <c r="H143" s="154"/>
      <c r="J143" s="193"/>
      <c r="K143" s="193"/>
      <c r="N143" s="154"/>
      <c r="R143" s="185"/>
      <c r="T143" s="154"/>
      <c r="V143" s="185"/>
      <c r="Z143" s="154"/>
      <c r="AA143" s="154"/>
      <c r="AB143" s="154"/>
      <c r="AC143" s="154"/>
      <c r="AD143" s="154"/>
      <c r="AE143" s="154"/>
      <c r="AF143" s="154"/>
    </row>
    <row r="144" spans="3:36">
      <c r="C144" s="150"/>
      <c r="D144" s="193" t="s">
        <v>545</v>
      </c>
      <c r="E144" s="154"/>
      <c r="F144" s="154"/>
      <c r="G144" s="154"/>
      <c r="H144" s="154"/>
      <c r="J144" s="193"/>
      <c r="K144" s="193"/>
      <c r="N144" s="154"/>
      <c r="R144" s="185">
        <v>44545</v>
      </c>
      <c r="S144" s="150" t="s">
        <v>112</v>
      </c>
      <c r="T144" s="154">
        <v>24694295</v>
      </c>
      <c r="V144" s="185"/>
      <c r="AA144" s="154"/>
      <c r="AB144" s="154"/>
      <c r="AC144" s="154"/>
      <c r="AD144" s="154"/>
    </row>
    <row r="145" spans="3:31">
      <c r="C145" s="150"/>
      <c r="D145" s="193"/>
      <c r="E145" s="154"/>
      <c r="F145" s="154"/>
      <c r="G145" s="154"/>
      <c r="H145" s="154"/>
      <c r="J145" s="193"/>
      <c r="K145" s="193"/>
      <c r="N145" s="154"/>
      <c r="R145" s="185">
        <v>44545</v>
      </c>
      <c r="T145" s="154"/>
      <c r="AA145" s="154"/>
      <c r="AB145" s="154"/>
      <c r="AC145" s="154"/>
      <c r="AD145" s="154"/>
    </row>
    <row r="146" spans="3:31">
      <c r="C146" s="150"/>
      <c r="D146" s="193"/>
      <c r="E146" s="154"/>
      <c r="F146" s="154"/>
      <c r="G146" s="154"/>
      <c r="H146" s="154"/>
      <c r="J146" s="193"/>
      <c r="K146" s="193"/>
      <c r="T146" s="154"/>
      <c r="AA146" s="154"/>
      <c r="AB146" s="154"/>
      <c r="AC146" s="154"/>
      <c r="AD146" s="154"/>
    </row>
    <row r="147" spans="3:31">
      <c r="C147" s="150"/>
      <c r="D147" s="193"/>
      <c r="E147" s="193"/>
      <c r="F147" s="193"/>
      <c r="G147" s="193"/>
      <c r="H147" s="154"/>
      <c r="R147" s="185"/>
      <c r="AD147" s="154"/>
    </row>
    <row r="148" spans="3:31">
      <c r="C148" s="150"/>
      <c r="D148" s="193"/>
      <c r="E148" s="154"/>
      <c r="F148" s="154"/>
      <c r="G148" s="154"/>
      <c r="H148" s="154"/>
      <c r="P148" s="154">
        <v>4082158304</v>
      </c>
      <c r="Q148" s="154">
        <v>2153882671</v>
      </c>
      <c r="R148" s="154">
        <v>3013100310</v>
      </c>
      <c r="S148" s="154">
        <v>1005934644</v>
      </c>
      <c r="T148" s="154">
        <v>416265520</v>
      </c>
      <c r="AA148" s="154"/>
      <c r="AB148" s="154"/>
      <c r="AC148" s="154"/>
    </row>
    <row r="149" spans="3:31">
      <c r="C149" s="150"/>
      <c r="D149" s="193"/>
      <c r="E149" s="193"/>
      <c r="F149" s="193"/>
      <c r="G149" s="193"/>
      <c r="H149" s="154"/>
      <c r="P149" s="154" t="e">
        <f ca="1">[3]!terbilang(P148)</f>
        <v>#NAME?</v>
      </c>
      <c r="Q149" s="154" t="e">
        <f ca="1">[3]!terbilang(Q148)</f>
        <v>#NAME?</v>
      </c>
      <c r="R149" s="154" t="e">
        <f ca="1">[3]!terbilang(R148)</f>
        <v>#NAME?</v>
      </c>
      <c r="S149" s="154" t="e">
        <f ca="1">[3]!terbilang(S148)</f>
        <v>#NAME?</v>
      </c>
      <c r="T149" s="154" t="e">
        <f ca="1">[3]!terbilang(T148)</f>
        <v>#NAME?</v>
      </c>
      <c r="AD149" s="154"/>
    </row>
    <row r="150" spans="3:31">
      <c r="C150" s="150"/>
      <c r="D150" s="193"/>
      <c r="E150" s="154"/>
      <c r="F150" s="154"/>
      <c r="G150" s="154"/>
      <c r="H150" s="154"/>
      <c r="P150" s="154">
        <v>95570420</v>
      </c>
      <c r="Q150" s="154">
        <v>16617686</v>
      </c>
      <c r="R150" s="154">
        <v>1487120662</v>
      </c>
      <c r="S150" s="154">
        <v>2000000000</v>
      </c>
      <c r="T150" s="154">
        <v>355946</v>
      </c>
      <c r="Y150" s="154"/>
      <c r="Z150" s="154"/>
      <c r="AA150" s="154"/>
      <c r="AB150" s="154"/>
      <c r="AC150" s="154"/>
    </row>
    <row r="151" spans="3:31">
      <c r="C151" s="150"/>
      <c r="D151" s="193"/>
      <c r="E151" s="154"/>
      <c r="F151" s="154"/>
      <c r="G151" s="154"/>
      <c r="H151" s="154"/>
      <c r="P151" s="154" t="e">
        <f ca="1">[3]!terbilang(P150)</f>
        <v>#NAME?</v>
      </c>
      <c r="Q151" s="154" t="e">
        <f ca="1">[3]!terbilang(Q150)</f>
        <v>#NAME?</v>
      </c>
      <c r="R151" s="154" t="e">
        <f ca="1">[3]!terbilang(R150)</f>
        <v>#NAME?</v>
      </c>
      <c r="S151" s="154" t="e">
        <f ca="1">[3]!terbilang(S150)</f>
        <v>#NAME?</v>
      </c>
      <c r="T151" s="154" t="e">
        <f ca="1">[3]!terbilang(T150)</f>
        <v>#NAME?</v>
      </c>
      <c r="Y151" s="154"/>
      <c r="Z151" s="154"/>
      <c r="AB151" s="154"/>
      <c r="AC151" s="154"/>
      <c r="AD151" s="154"/>
    </row>
    <row r="152" spans="3:31">
      <c r="C152" s="150"/>
      <c r="D152" s="193"/>
      <c r="E152" s="193"/>
      <c r="F152" s="193"/>
      <c r="G152" s="193"/>
      <c r="H152" s="154"/>
      <c r="P152" s="154">
        <v>1197499</v>
      </c>
      <c r="Q152" s="154">
        <v>1253448</v>
      </c>
      <c r="R152" s="154">
        <v>490909</v>
      </c>
      <c r="S152" s="154">
        <v>2750000</v>
      </c>
      <c r="T152" s="154">
        <v>6750000</v>
      </c>
      <c r="Y152" s="154"/>
      <c r="Z152" s="154"/>
      <c r="AA152" s="154"/>
      <c r="AB152" s="154"/>
      <c r="AC152" s="154"/>
      <c r="AD152" s="154"/>
    </row>
    <row r="153" spans="3:31">
      <c r="C153" s="150"/>
      <c r="D153" s="154"/>
      <c r="E153" s="154"/>
      <c r="F153" s="154"/>
      <c r="G153" s="154"/>
      <c r="H153" s="154"/>
      <c r="P153" s="154" t="e">
        <f ca="1">[3]!terbilang(P152)</f>
        <v>#NAME?</v>
      </c>
      <c r="Q153" s="154" t="e">
        <f ca="1">[3]!terbilang(Q152)</f>
        <v>#NAME?</v>
      </c>
      <c r="R153" s="154" t="e">
        <f ca="1">[3]!terbilang(R152)</f>
        <v>#NAME?</v>
      </c>
      <c r="S153" s="154" t="e">
        <f ca="1">[3]!terbilang(S152)</f>
        <v>#NAME?</v>
      </c>
      <c r="T153" s="154" t="e">
        <f ca="1">[3]!terbilang(T152)</f>
        <v>#NAME?</v>
      </c>
      <c r="Y153" s="154"/>
      <c r="Z153" s="154"/>
      <c r="AA153" s="154"/>
      <c r="AB153" s="154"/>
      <c r="AC153" s="154"/>
      <c r="AD153" s="154"/>
    </row>
    <row r="154" spans="3:31">
      <c r="C154" s="150"/>
      <c r="D154" s="154"/>
      <c r="E154" s="154"/>
      <c r="F154" s="154"/>
      <c r="G154" s="154"/>
      <c r="H154" s="154"/>
      <c r="P154" s="154">
        <v>687270</v>
      </c>
      <c r="Q154" s="154">
        <v>1084905</v>
      </c>
      <c r="R154" s="154">
        <v>1060362</v>
      </c>
      <c r="S154" s="154">
        <v>756000</v>
      </c>
      <c r="T154" s="154">
        <v>687270</v>
      </c>
      <c r="Y154" s="154"/>
      <c r="Z154" s="154"/>
      <c r="AA154" s="154"/>
      <c r="AB154" s="154"/>
      <c r="AC154" s="154"/>
      <c r="AD154" s="154"/>
    </row>
    <row r="155" spans="3:31">
      <c r="C155" s="150"/>
      <c r="D155" s="193"/>
      <c r="E155" s="193"/>
      <c r="F155" s="193"/>
      <c r="G155" s="193"/>
      <c r="H155" s="154"/>
      <c r="P155" s="154" t="e">
        <f ca="1">[3]!terbilang(P154)</f>
        <v>#NAME?</v>
      </c>
      <c r="Q155" s="154" t="e">
        <f ca="1">[3]!terbilang(Q154)</f>
        <v>#NAME?</v>
      </c>
      <c r="R155" s="154" t="e">
        <f ca="1">[3]!terbilang(R154)</f>
        <v>#NAME?</v>
      </c>
      <c r="S155" s="154" t="e">
        <f ca="1">[3]!terbilang(S154)</f>
        <v>#NAME?</v>
      </c>
      <c r="T155" s="154" t="e">
        <f ca="1">[3]!terbilang(T154)</f>
        <v>#NAME?</v>
      </c>
      <c r="U155" s="150">
        <v>2500000</v>
      </c>
      <c r="Y155" s="154"/>
      <c r="Z155" s="154"/>
      <c r="AA155" s="154"/>
      <c r="AB155" s="154"/>
      <c r="AC155" s="154"/>
      <c r="AD155" s="154"/>
    </row>
    <row r="156" spans="3:31">
      <c r="C156" s="150"/>
      <c r="D156" s="154"/>
      <c r="E156" s="154"/>
      <c r="F156" s="154"/>
      <c r="G156" s="154"/>
      <c r="H156" s="154"/>
      <c r="J156" s="150"/>
      <c r="K156" s="150"/>
      <c r="P156" s="154">
        <v>1084905</v>
      </c>
      <c r="Q156" s="154">
        <v>704452</v>
      </c>
      <c r="R156" s="154">
        <v>1080000</v>
      </c>
      <c r="S156" s="154">
        <v>600739</v>
      </c>
      <c r="T156" s="154"/>
      <c r="Y156" s="154"/>
      <c r="Z156" s="154"/>
      <c r="AA156" s="154"/>
      <c r="AB156" s="154"/>
      <c r="AC156" s="154"/>
      <c r="AD156" s="154">
        <v>1870843551</v>
      </c>
      <c r="AE156" s="154"/>
    </row>
    <row r="157" spans="3:31">
      <c r="C157" s="150"/>
      <c r="D157" s="193"/>
      <c r="E157" s="193"/>
      <c r="F157" s="193"/>
      <c r="G157" s="193"/>
      <c r="J157" s="150"/>
      <c r="K157" s="150"/>
      <c r="P157" s="154" t="e">
        <f ca="1">[3]!terbilang(P156)</f>
        <v>#NAME?</v>
      </c>
      <c r="Q157" s="154" t="e">
        <f ca="1">[3]!terbilang(Q156)</f>
        <v>#NAME?</v>
      </c>
      <c r="R157" s="154" t="e">
        <f ca="1">[3]!terbilang(R156)</f>
        <v>#NAME?</v>
      </c>
      <c r="S157" s="154" t="e">
        <f ca="1">[3]!terbilang(S156)</f>
        <v>#NAME?</v>
      </c>
      <c r="T157" s="154" t="e">
        <f ca="1">[3]!terbilang(T156)</f>
        <v>#NAME?</v>
      </c>
      <c r="Y157" s="154"/>
      <c r="Z157" s="154"/>
      <c r="AA157" s="154"/>
      <c r="AB157" s="154"/>
      <c r="AC157" s="154"/>
      <c r="AD157" s="154" t="e">
        <f ca="1">[3]!terbilang(AD156)</f>
        <v>#NAME?</v>
      </c>
      <c r="AE157" s="154"/>
    </row>
    <row r="158" spans="3:31">
      <c r="C158" s="150"/>
      <c r="D158" s="154"/>
      <c r="E158" s="154"/>
      <c r="F158" s="154"/>
      <c r="G158" s="154"/>
      <c r="H158" s="154"/>
      <c r="J158" s="150"/>
      <c r="K158" s="150"/>
      <c r="P158" s="154">
        <v>1030905</v>
      </c>
      <c r="Q158" s="154">
        <v>756000</v>
      </c>
      <c r="R158" s="154">
        <v>42212300</v>
      </c>
      <c r="S158" s="154">
        <v>9467700</v>
      </c>
      <c r="T158" s="154"/>
      <c r="Y158" s="154"/>
      <c r="Z158" s="154"/>
      <c r="AA158" s="154"/>
      <c r="AB158" s="154"/>
      <c r="AC158" s="154"/>
      <c r="AD158" s="154"/>
      <c r="AE158" s="154"/>
    </row>
    <row r="159" spans="3:31">
      <c r="C159" s="150"/>
      <c r="D159" s="193"/>
      <c r="E159" s="193"/>
      <c r="F159" s="193"/>
      <c r="G159" s="193"/>
      <c r="H159" s="193"/>
      <c r="J159" s="150"/>
      <c r="K159" s="150"/>
      <c r="P159" s="154" t="e">
        <f ca="1">[3]!terbilang(P158)</f>
        <v>#NAME?</v>
      </c>
      <c r="Q159" s="154" t="e">
        <f ca="1">[3]!terbilang(Q158)</f>
        <v>#NAME?</v>
      </c>
      <c r="R159" s="154" t="e">
        <f ca="1">[3]!terbilang(R158)</f>
        <v>#NAME?</v>
      </c>
      <c r="S159" s="154" t="e">
        <f ca="1">[3]!terbilang(S158)</f>
        <v>#NAME?</v>
      </c>
      <c r="Y159" s="154"/>
      <c r="Z159" s="154"/>
      <c r="AA159" s="154"/>
      <c r="AB159" s="154"/>
      <c r="AC159" s="154"/>
      <c r="AD159" s="154" t="e">
        <f ca="1">[3]!terbilang(AD158)</f>
        <v>#NAME?</v>
      </c>
      <c r="AE159" s="154"/>
    </row>
    <row r="160" spans="3:31">
      <c r="D160" s="193"/>
      <c r="E160" s="154"/>
      <c r="F160" s="154"/>
      <c r="G160" s="154"/>
      <c r="J160" s="150"/>
      <c r="K160" s="150"/>
      <c r="P160" s="154"/>
      <c r="R160" s="154"/>
      <c r="U160" s="150">
        <v>600</v>
      </c>
      <c r="V160" s="150">
        <f>600*12</f>
        <v>7200</v>
      </c>
      <c r="AD160" s="154"/>
      <c r="AE160" s="154"/>
    </row>
    <row r="161" spans="3:29">
      <c r="D161" s="193"/>
      <c r="E161" s="154"/>
      <c r="F161" s="154"/>
      <c r="G161" s="154"/>
      <c r="J161" s="150"/>
      <c r="K161" s="150"/>
      <c r="P161" s="154"/>
      <c r="R161" s="154"/>
    </row>
    <row r="162" spans="3:29">
      <c r="C162" s="150"/>
      <c r="D162" s="154"/>
      <c r="E162" s="154"/>
      <c r="F162" s="154"/>
      <c r="G162" s="154"/>
      <c r="J162" s="150"/>
      <c r="K162" s="150"/>
      <c r="P162" s="154"/>
      <c r="R162" s="154"/>
      <c r="X162" s="154"/>
      <c r="AA162" s="154"/>
      <c r="AB162" s="154"/>
      <c r="AC162" s="154"/>
    </row>
    <row r="163" spans="3:29">
      <c r="C163" s="150"/>
      <c r="D163" s="150"/>
      <c r="J163" s="150"/>
      <c r="K163" s="150"/>
      <c r="P163" s="154"/>
      <c r="R163" s="154"/>
      <c r="X163" s="154"/>
      <c r="AA163" s="154"/>
      <c r="AB163" s="154"/>
      <c r="AC163" s="154"/>
    </row>
    <row r="164" spans="3:29">
      <c r="C164" s="150"/>
      <c r="D164" s="154"/>
      <c r="E164" s="154"/>
      <c r="F164" s="154"/>
      <c r="G164" s="154"/>
      <c r="P164" s="154"/>
      <c r="X164" s="154"/>
      <c r="AA164" s="154"/>
      <c r="AB164" s="154"/>
      <c r="AC164" s="154"/>
    </row>
    <row r="165" spans="3:29">
      <c r="C165" s="150"/>
      <c r="D165" s="193"/>
      <c r="E165" s="193"/>
      <c r="F165" s="193"/>
      <c r="G165" s="193"/>
      <c r="P165" s="154"/>
      <c r="W165" s="154">
        <f>2500000*7200</f>
        <v>18000000000</v>
      </c>
      <c r="X165" s="154"/>
      <c r="AA165" s="154"/>
      <c r="AB165" s="154"/>
      <c r="AC165" s="154"/>
    </row>
    <row r="166" spans="3:29">
      <c r="C166" s="150"/>
      <c r="D166" s="150"/>
      <c r="J166" s="150"/>
      <c r="K166" s="150"/>
      <c r="P166" s="154"/>
      <c r="X166" s="154"/>
      <c r="AA166" s="154"/>
      <c r="AB166" s="154"/>
      <c r="AC166" s="154"/>
    </row>
    <row r="167" spans="3:29">
      <c r="C167" s="150"/>
      <c r="D167" s="150"/>
      <c r="J167" s="150"/>
      <c r="K167" s="150"/>
      <c r="P167" s="154"/>
      <c r="X167" s="154"/>
      <c r="AA167" s="154"/>
      <c r="AB167" s="154"/>
      <c r="AC167" s="154"/>
    </row>
    <row r="168" spans="3:29">
      <c r="C168" s="150"/>
      <c r="D168" s="150"/>
      <c r="E168" s="245">
        <f>C168+D168</f>
        <v>0</v>
      </c>
      <c r="F168" s="241">
        <v>151858375</v>
      </c>
      <c r="J168" s="150"/>
      <c r="K168" s="150"/>
      <c r="P168" s="154"/>
      <c r="X168" s="154"/>
      <c r="AA168" s="154"/>
      <c r="AB168" s="154"/>
      <c r="AC168" s="154"/>
    </row>
    <row r="169" spans="3:29">
      <c r="C169" s="150"/>
      <c r="D169" s="150"/>
      <c r="E169" s="245">
        <f t="shared" ref="E169:E186" si="4">C169+D169</f>
        <v>0</v>
      </c>
      <c r="F169" s="241">
        <v>151858375</v>
      </c>
      <c r="J169" s="150"/>
      <c r="K169" s="150"/>
      <c r="P169" s="154"/>
      <c r="X169" s="154"/>
      <c r="AA169" s="154"/>
      <c r="AB169" s="154"/>
      <c r="AC169" s="154"/>
    </row>
    <row r="170" spans="3:29">
      <c r="C170" s="150"/>
      <c r="D170" s="150"/>
      <c r="E170" s="245">
        <f t="shared" si="4"/>
        <v>0</v>
      </c>
      <c r="F170" s="241">
        <v>15635402</v>
      </c>
      <c r="J170" s="150"/>
      <c r="K170" s="150"/>
      <c r="X170" s="154"/>
      <c r="AA170" s="154"/>
      <c r="AB170" s="154"/>
      <c r="AC170" s="154"/>
    </row>
    <row r="171" spans="3:29">
      <c r="C171" s="150"/>
      <c r="D171" s="150"/>
      <c r="E171" s="245">
        <f t="shared" si="4"/>
        <v>0</v>
      </c>
      <c r="F171" s="241">
        <v>417819202</v>
      </c>
      <c r="J171" s="150"/>
      <c r="K171" s="150"/>
      <c r="X171" s="154"/>
      <c r="AA171" s="154"/>
      <c r="AB171" s="154"/>
      <c r="AC171" s="154"/>
    </row>
    <row r="172" spans="3:29">
      <c r="E172" s="245">
        <f t="shared" si="4"/>
        <v>0</v>
      </c>
      <c r="F172" s="241">
        <v>8266215</v>
      </c>
      <c r="J172" s="150"/>
      <c r="K172" s="150"/>
    </row>
    <row r="173" spans="3:29">
      <c r="E173" s="245">
        <f t="shared" si="4"/>
        <v>0</v>
      </c>
      <c r="F173" s="241">
        <v>8266215</v>
      </c>
      <c r="J173" s="150"/>
      <c r="K173" s="150"/>
    </row>
    <row r="174" spans="3:29">
      <c r="E174" s="245">
        <f t="shared" si="4"/>
        <v>0</v>
      </c>
      <c r="F174" s="242">
        <v>42795328</v>
      </c>
      <c r="J174" s="150"/>
      <c r="K174" s="150"/>
    </row>
    <row r="175" spans="3:29">
      <c r="C175" s="150"/>
      <c r="D175" s="150"/>
      <c r="E175" s="245">
        <f t="shared" si="4"/>
        <v>0</v>
      </c>
      <c r="F175" s="241">
        <v>26265232</v>
      </c>
      <c r="J175" s="150"/>
      <c r="K175" s="150"/>
    </row>
    <row r="176" spans="3:29">
      <c r="C176" s="150"/>
      <c r="D176" s="150"/>
      <c r="E176" s="245">
        <f t="shared" si="4"/>
        <v>0</v>
      </c>
      <c r="F176" s="242">
        <v>26265232</v>
      </c>
    </row>
    <row r="177" spans="3:11">
      <c r="C177" s="150"/>
      <c r="D177" s="150"/>
      <c r="E177" s="245">
        <f t="shared" si="4"/>
        <v>0</v>
      </c>
      <c r="F177" s="242">
        <v>199624868</v>
      </c>
    </row>
    <row r="178" spans="3:11">
      <c r="C178" s="150"/>
      <c r="D178" s="150"/>
      <c r="E178" s="245">
        <f t="shared" si="4"/>
        <v>0</v>
      </c>
      <c r="F178" s="241">
        <v>19684245</v>
      </c>
    </row>
    <row r="179" spans="3:11">
      <c r="C179" s="150"/>
      <c r="D179" s="150"/>
      <c r="E179" s="245">
        <f t="shared" si="4"/>
        <v>0</v>
      </c>
      <c r="F179" s="241">
        <v>77905425</v>
      </c>
      <c r="J179" s="150"/>
      <c r="K179" s="150"/>
    </row>
    <row r="180" spans="3:11">
      <c r="C180" s="150"/>
      <c r="D180" s="150"/>
      <c r="E180" s="245">
        <f t="shared" si="4"/>
        <v>0</v>
      </c>
      <c r="F180" s="241">
        <v>4441476</v>
      </c>
      <c r="J180" s="150"/>
      <c r="K180" s="150"/>
    </row>
    <row r="181" spans="3:11">
      <c r="C181" s="150"/>
      <c r="D181" s="150"/>
      <c r="E181" s="245">
        <f t="shared" si="4"/>
        <v>0</v>
      </c>
      <c r="F181" s="241">
        <v>4266433</v>
      </c>
      <c r="J181" s="150"/>
      <c r="K181" s="150"/>
    </row>
    <row r="182" spans="3:11">
      <c r="C182" s="150"/>
      <c r="D182" s="150"/>
      <c r="E182" s="245">
        <f t="shared" si="4"/>
        <v>0</v>
      </c>
      <c r="F182" s="241">
        <v>852429</v>
      </c>
      <c r="J182" s="150"/>
      <c r="K182" s="150"/>
    </row>
    <row r="183" spans="3:11">
      <c r="C183" s="150"/>
      <c r="D183" s="150"/>
      <c r="E183" s="245">
        <f t="shared" si="4"/>
        <v>0</v>
      </c>
      <c r="F183" s="241">
        <v>852429</v>
      </c>
      <c r="H183" s="154"/>
      <c r="J183" s="150"/>
      <c r="K183" s="150"/>
    </row>
    <row r="184" spans="3:11">
      <c r="C184" s="150"/>
      <c r="D184" s="150"/>
      <c r="E184" s="245">
        <f t="shared" si="4"/>
        <v>0</v>
      </c>
      <c r="F184" s="242">
        <v>112121856</v>
      </c>
      <c r="H184" s="154"/>
      <c r="J184" s="150"/>
      <c r="K184" s="150"/>
    </row>
    <row r="185" spans="3:11">
      <c r="C185" s="150"/>
      <c r="D185" s="150"/>
      <c r="E185" s="245">
        <f t="shared" si="4"/>
        <v>0</v>
      </c>
      <c r="F185" s="241">
        <v>95897725</v>
      </c>
      <c r="H185" s="154"/>
      <c r="J185" s="150"/>
      <c r="K185" s="150"/>
    </row>
    <row r="186" spans="3:11">
      <c r="C186" s="150"/>
      <c r="D186" s="150"/>
      <c r="E186" s="245">
        <f t="shared" si="4"/>
        <v>0</v>
      </c>
      <c r="F186" s="242">
        <v>611033945</v>
      </c>
      <c r="H186" s="154"/>
      <c r="J186" s="150"/>
      <c r="K186" s="150"/>
    </row>
    <row r="187" spans="3:11">
      <c r="C187" s="150"/>
      <c r="D187" s="150"/>
      <c r="F187" s="243"/>
      <c r="H187" s="154"/>
      <c r="J187" s="150"/>
      <c r="K187" s="150"/>
    </row>
    <row r="188" spans="3:11">
      <c r="H188" s="193" t="e">
        <f ca="1">[3]!terbilang(H187)</f>
        <v>#NAME?</v>
      </c>
      <c r="J188" s="150"/>
      <c r="K188" s="150"/>
    </row>
    <row r="189" spans="3:11">
      <c r="D189" s="193">
        <v>97846397</v>
      </c>
      <c r="E189" s="154">
        <v>2865371212</v>
      </c>
      <c r="F189" s="154">
        <v>89668307</v>
      </c>
      <c r="G189" s="154">
        <v>140646841</v>
      </c>
      <c r="H189" s="154"/>
      <c r="J189" s="150"/>
      <c r="K189" s="150"/>
    </row>
    <row r="190" spans="3:11">
      <c r="D190" s="193"/>
      <c r="E190" s="154"/>
      <c r="F190" s="154"/>
      <c r="G190" s="154"/>
      <c r="H190" s="154"/>
      <c r="J190" s="150"/>
      <c r="K190" s="150"/>
    </row>
    <row r="191" spans="3:11">
      <c r="D191" s="182" t="e">
        <f ca="1">[3]!terbilang(D189)</f>
        <v>#NAME?</v>
      </c>
      <c r="E191" s="193" t="e">
        <f ca="1">[3]!terbilang(E189)</f>
        <v>#NAME?</v>
      </c>
      <c r="F191" s="193" t="e">
        <f ca="1">[3]!terbilang(F189)</f>
        <v>#NAME?</v>
      </c>
      <c r="G191" s="193" t="e">
        <f ca="1">[3]!terbilang(G189)</f>
        <v>#NAME?</v>
      </c>
      <c r="H191" s="154"/>
      <c r="J191" s="150"/>
      <c r="K191" s="150"/>
    </row>
    <row r="192" spans="3:11">
      <c r="C192" s="150"/>
      <c r="D192" s="193"/>
      <c r="E192" s="154"/>
      <c r="F192" s="154"/>
      <c r="G192" s="154"/>
      <c r="H192" s="154"/>
      <c r="J192" s="150"/>
      <c r="K192" s="150"/>
    </row>
    <row r="193" spans="3:11">
      <c r="C193" s="150"/>
      <c r="D193" s="193">
        <v>14952300</v>
      </c>
      <c r="E193" s="154">
        <v>25686590</v>
      </c>
      <c r="F193" s="154">
        <v>12165006</v>
      </c>
      <c r="G193" s="154">
        <v>33728185</v>
      </c>
      <c r="H193" s="154"/>
      <c r="J193" s="150"/>
      <c r="K193" s="150"/>
    </row>
    <row r="194" spans="3:11">
      <c r="C194" s="150"/>
      <c r="D194" s="193" t="e">
        <f ca="1">[3]!terbilang(D193)</f>
        <v>#NAME?</v>
      </c>
      <c r="E194" s="193" t="e">
        <f ca="1">[3]!terbilang(E193)</f>
        <v>#NAME?</v>
      </c>
      <c r="F194" s="193" t="e">
        <f ca="1">[3]!terbilang(F193)</f>
        <v>#NAME?</v>
      </c>
      <c r="G194" s="193" t="e">
        <f ca="1">[3]!terbilang(G193)</f>
        <v>#NAME?</v>
      </c>
      <c r="H194" s="154"/>
      <c r="J194" s="150"/>
      <c r="K194" s="150"/>
    </row>
    <row r="195" spans="3:11">
      <c r="C195" s="150"/>
      <c r="D195" s="193"/>
      <c r="E195" s="193"/>
      <c r="F195" s="193"/>
      <c r="G195" s="193"/>
      <c r="H195" s="193" t="e">
        <f ca="1">[3]!terbilang(H193)</f>
        <v>#NAME?</v>
      </c>
      <c r="J195" s="150"/>
      <c r="K195" s="150"/>
    </row>
    <row r="196" spans="3:11">
      <c r="C196" s="150"/>
      <c r="D196" s="193">
        <v>48422213</v>
      </c>
      <c r="E196" s="154">
        <v>36753941</v>
      </c>
      <c r="F196" s="154">
        <v>31079686</v>
      </c>
      <c r="G196" s="154">
        <v>20004300</v>
      </c>
      <c r="H196" s="154"/>
      <c r="J196" s="150"/>
      <c r="K196" s="150"/>
    </row>
    <row r="197" spans="3:11">
      <c r="C197" s="150"/>
      <c r="D197" s="193"/>
      <c r="E197" s="154"/>
      <c r="F197" s="154"/>
      <c r="G197" s="154"/>
      <c r="H197" s="154"/>
      <c r="J197" s="150"/>
      <c r="K197" s="150"/>
    </row>
    <row r="198" spans="3:11">
      <c r="C198" s="150"/>
      <c r="D198" s="193" t="e">
        <f ca="1">[3]!terbilang(D196)</f>
        <v>#NAME?</v>
      </c>
      <c r="E198" s="193" t="e">
        <f ca="1">[3]!terbilang(E196)</f>
        <v>#NAME?</v>
      </c>
      <c r="F198" s="193" t="e">
        <f ca="1">[3]!terbilang(F196)</f>
        <v>#NAME?</v>
      </c>
      <c r="G198" s="193" t="e">
        <f ca="1">[3]!terbilang(G196)</f>
        <v>#NAME?</v>
      </c>
      <c r="H198" s="154"/>
      <c r="J198" s="150"/>
      <c r="K198" s="150"/>
    </row>
    <row r="199" spans="3:11">
      <c r="C199" s="150"/>
      <c r="D199" s="193">
        <v>59307925</v>
      </c>
      <c r="E199" s="154">
        <v>91714882</v>
      </c>
      <c r="F199" s="154">
        <v>50376375</v>
      </c>
      <c r="G199" s="154">
        <v>48653224</v>
      </c>
      <c r="H199" s="154"/>
      <c r="J199" s="150"/>
      <c r="K199" s="150"/>
    </row>
    <row r="200" spans="3:11">
      <c r="C200" s="150"/>
      <c r="D200" s="193"/>
      <c r="E200" s="154"/>
      <c r="F200" s="154"/>
      <c r="G200" s="154"/>
      <c r="H200" s="154"/>
      <c r="J200" s="150"/>
      <c r="K200" s="150"/>
    </row>
    <row r="201" spans="3:11">
      <c r="C201" s="150"/>
      <c r="D201" s="193" t="e">
        <f ca="1">[3]!terbilang(D199)</f>
        <v>#NAME?</v>
      </c>
      <c r="E201" s="193" t="e">
        <f ca="1">[3]!terbilang(E199)</f>
        <v>#NAME?</v>
      </c>
      <c r="F201" s="193" t="e">
        <f ca="1">[3]!terbilang(F199)</f>
        <v>#NAME?</v>
      </c>
      <c r="G201" s="193" t="e">
        <f ca="1">[3]!terbilang(G199)</f>
        <v>#NAME?</v>
      </c>
      <c r="J201" s="150"/>
      <c r="K201" s="150"/>
    </row>
    <row r="202" spans="3:11">
      <c r="C202" s="150"/>
      <c r="D202" s="193"/>
      <c r="E202" s="154"/>
      <c r="F202" s="154"/>
      <c r="G202" s="154"/>
      <c r="J202" s="150"/>
      <c r="K202" s="150"/>
    </row>
    <row r="203" spans="3:11">
      <c r="C203" s="150"/>
      <c r="D203" s="193"/>
      <c r="E203" s="154"/>
      <c r="F203" s="154"/>
      <c r="G203" s="154"/>
      <c r="J203" s="150"/>
      <c r="K203" s="150"/>
    </row>
    <row r="204" spans="3:11">
      <c r="C204" s="150"/>
      <c r="D204" s="193"/>
      <c r="E204" s="154"/>
      <c r="F204" s="154"/>
      <c r="G204" s="154"/>
      <c r="J204" s="150"/>
      <c r="K204" s="150"/>
    </row>
    <row r="205" spans="3:11">
      <c r="C205" s="150"/>
      <c r="D205" s="193"/>
      <c r="E205" s="154"/>
      <c r="F205" s="154"/>
      <c r="G205" s="154"/>
      <c r="J205" s="150"/>
      <c r="K205" s="150"/>
    </row>
    <row r="206" spans="3:11">
      <c r="C206" s="150"/>
      <c r="D206" s="193"/>
      <c r="E206" s="154" t="s">
        <v>108</v>
      </c>
      <c r="F206" s="154"/>
      <c r="G206" s="154"/>
      <c r="J206" s="150"/>
      <c r="K206" s="150"/>
    </row>
    <row r="208" spans="3:11">
      <c r="C208" s="150"/>
      <c r="D208" s="182" t="s">
        <v>112</v>
      </c>
      <c r="J208" s="150"/>
      <c r="K208" s="150"/>
    </row>
    <row r="209" spans="3:11">
      <c r="C209" s="150"/>
      <c r="E209" s="150" t="s">
        <v>111</v>
      </c>
      <c r="J209" s="150"/>
      <c r="K209" s="150"/>
    </row>
  </sheetData>
  <mergeCells count="18">
    <mergeCell ref="L127:N127"/>
    <mergeCell ref="W107:X107"/>
    <mergeCell ref="P111:S111"/>
    <mergeCell ref="F103:G103"/>
    <mergeCell ref="H103:I103"/>
    <mergeCell ref="J103:K103"/>
    <mergeCell ref="L103:M103"/>
    <mergeCell ref="P103:T103"/>
    <mergeCell ref="W106:Z106"/>
    <mergeCell ref="P127:R127"/>
    <mergeCell ref="C4:AG4"/>
    <mergeCell ref="A93:B93"/>
    <mergeCell ref="F102:G102"/>
    <mergeCell ref="H102:I102"/>
    <mergeCell ref="J102:K102"/>
    <mergeCell ref="L102:M102"/>
    <mergeCell ref="P102:T102"/>
    <mergeCell ref="AD100:AF100"/>
  </mergeCells>
  <pageMargins left="0.7" right="0.7" top="0.75" bottom="0.75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12"/>
  <sheetViews>
    <sheetView topLeftCell="V97" zoomScale="60" zoomScaleNormal="60" workbookViewId="0">
      <selection activeCell="W74" sqref="W74"/>
    </sheetView>
  </sheetViews>
  <sheetFormatPr defaultRowHeight="15.75"/>
  <cols>
    <col min="1" max="1" width="45.140625" style="150" customWidth="1"/>
    <col min="2" max="2" width="13.42578125" style="150" customWidth="1"/>
    <col min="3" max="3" width="19.85546875" style="182" customWidth="1"/>
    <col min="4" max="4" width="18.7109375" style="182" customWidth="1"/>
    <col min="5" max="5" width="21.28515625" style="150" customWidth="1"/>
    <col min="6" max="6" width="22.5703125" style="150" customWidth="1"/>
    <col min="7" max="7" width="18.42578125" style="150" customWidth="1"/>
    <col min="8" max="8" width="22.140625" style="150" customWidth="1"/>
    <col min="9" max="9" width="21.42578125" style="150" customWidth="1"/>
    <col min="10" max="10" width="22.140625" style="182" customWidth="1"/>
    <col min="11" max="11" width="21" style="182" customWidth="1"/>
    <col min="12" max="12" width="24.140625" style="150" customWidth="1"/>
    <col min="13" max="13" width="27.28515625" style="150" customWidth="1"/>
    <col min="14" max="14" width="19.42578125" style="150" customWidth="1"/>
    <col min="15" max="15" width="18.28515625" style="150" customWidth="1"/>
    <col min="16" max="16" width="19.85546875" style="150" customWidth="1"/>
    <col min="17" max="17" width="18.85546875" style="150" customWidth="1"/>
    <col min="18" max="18" width="27.5703125" style="150" customWidth="1"/>
    <col min="19" max="19" width="34" style="150" customWidth="1"/>
    <col min="20" max="20" width="23.28515625" style="150" customWidth="1"/>
    <col min="21" max="21" width="19.5703125" style="150" customWidth="1"/>
    <col min="22" max="22" width="19.42578125" style="150" customWidth="1"/>
    <col min="23" max="23" width="23" style="150" customWidth="1"/>
    <col min="24" max="25" width="20.7109375" style="150" customWidth="1"/>
    <col min="26" max="26" width="22.42578125" style="150" customWidth="1"/>
    <col min="27" max="27" width="21.7109375" style="150" customWidth="1"/>
    <col min="28" max="28" width="20.28515625" style="150" customWidth="1"/>
    <col min="29" max="29" width="18.5703125" style="150" customWidth="1"/>
    <col min="30" max="30" width="21.7109375" style="150" customWidth="1"/>
    <col min="31" max="31" width="25.28515625" style="150" customWidth="1"/>
    <col min="32" max="32" width="19" style="150" customWidth="1"/>
    <col min="33" max="34" width="21.7109375" style="150" customWidth="1"/>
    <col min="35" max="35" width="20.28515625" style="150" customWidth="1"/>
    <col min="36" max="36" width="18.140625" style="150" customWidth="1"/>
    <col min="37" max="37" width="12.85546875" style="150" customWidth="1"/>
    <col min="38" max="38" width="19.140625" style="150" customWidth="1"/>
    <col min="39" max="16384" width="9.140625" style="150"/>
  </cols>
  <sheetData>
    <row r="1" spans="1:36">
      <c r="A1" s="147" t="s">
        <v>0</v>
      </c>
      <c r="B1" s="148"/>
      <c r="C1" s="149"/>
      <c r="D1" s="149"/>
      <c r="E1" s="148"/>
      <c r="F1" s="148"/>
      <c r="G1" s="148"/>
      <c r="H1" s="148"/>
      <c r="I1" s="148"/>
      <c r="J1" s="149"/>
      <c r="K1" s="149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</row>
    <row r="2" spans="1:36" s="154" customFormat="1">
      <c r="A2" s="151" t="s">
        <v>1</v>
      </c>
      <c r="B2" s="152"/>
      <c r="C2" s="153"/>
      <c r="D2" s="153"/>
      <c r="E2" s="152"/>
      <c r="F2" s="152"/>
      <c r="G2" s="152"/>
      <c r="H2" s="152"/>
      <c r="I2" s="152"/>
      <c r="J2" s="153"/>
      <c r="K2" s="153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</row>
    <row r="3" spans="1:36">
      <c r="A3" s="155" t="s">
        <v>2</v>
      </c>
      <c r="B3" s="156">
        <v>44621</v>
      </c>
      <c r="C3" s="153"/>
      <c r="D3" s="153"/>
      <c r="E3" s="152"/>
      <c r="F3" s="152"/>
      <c r="G3" s="152"/>
      <c r="H3" s="152"/>
      <c r="I3" s="152"/>
      <c r="J3" s="153"/>
      <c r="K3" s="153"/>
      <c r="L3" s="152"/>
      <c r="M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</row>
    <row r="4" spans="1:36">
      <c r="A4" s="157" t="s">
        <v>3</v>
      </c>
      <c r="B4" s="158" t="s">
        <v>4</v>
      </c>
      <c r="C4" s="390" t="s">
        <v>5</v>
      </c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2"/>
      <c r="AH4" s="290"/>
      <c r="AI4" s="159" t="s">
        <v>6</v>
      </c>
      <c r="AJ4" s="154"/>
    </row>
    <row r="5" spans="1:36">
      <c r="A5" s="157"/>
      <c r="B5" s="158"/>
      <c r="C5" s="160">
        <v>44620</v>
      </c>
      <c r="D5" s="160">
        <v>61</v>
      </c>
      <c r="E5" s="160">
        <v>62</v>
      </c>
      <c r="F5" s="160">
        <v>64</v>
      </c>
      <c r="G5" s="160">
        <v>65</v>
      </c>
      <c r="H5" s="160">
        <v>66</v>
      </c>
      <c r="I5" s="160">
        <v>67</v>
      </c>
      <c r="J5" s="160">
        <v>68</v>
      </c>
      <c r="K5" s="160">
        <v>69</v>
      </c>
      <c r="L5" s="160">
        <v>70</v>
      </c>
      <c r="M5" s="160">
        <v>71</v>
      </c>
      <c r="N5" s="160">
        <v>72</v>
      </c>
      <c r="O5" s="160">
        <v>73</v>
      </c>
      <c r="P5" s="160">
        <v>74</v>
      </c>
      <c r="Q5" s="160">
        <v>75</v>
      </c>
      <c r="R5" s="160">
        <v>76</v>
      </c>
      <c r="S5" s="160">
        <v>77</v>
      </c>
      <c r="T5" s="160">
        <v>78</v>
      </c>
      <c r="U5" s="160">
        <v>79</v>
      </c>
      <c r="V5" s="160">
        <v>80</v>
      </c>
      <c r="W5" s="160">
        <v>81</v>
      </c>
      <c r="X5" s="160">
        <v>82</v>
      </c>
      <c r="Y5" s="160">
        <v>83</v>
      </c>
      <c r="Z5" s="160">
        <v>84</v>
      </c>
      <c r="AA5" s="160">
        <v>85</v>
      </c>
      <c r="AB5" s="160">
        <v>86</v>
      </c>
      <c r="AC5" s="160">
        <v>87</v>
      </c>
      <c r="AD5" s="160">
        <v>88</v>
      </c>
      <c r="AE5" s="160">
        <v>89</v>
      </c>
      <c r="AF5" s="160">
        <v>90</v>
      </c>
      <c r="AG5" s="160">
        <v>91</v>
      </c>
      <c r="AH5" s="160"/>
      <c r="AI5" s="159"/>
      <c r="AJ5" s="154"/>
    </row>
    <row r="6" spans="1:36">
      <c r="A6" s="161" t="s">
        <v>7</v>
      </c>
      <c r="B6" s="162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8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3"/>
      <c r="AJ6" s="173"/>
    </row>
    <row r="7" spans="1:36">
      <c r="A7" s="258" t="s">
        <v>577</v>
      </c>
      <c r="B7" s="162"/>
      <c r="C7" s="167"/>
      <c r="D7" s="273"/>
      <c r="E7" s="167"/>
      <c r="F7" s="167"/>
      <c r="G7" s="273"/>
      <c r="H7" s="273"/>
      <c r="I7" s="167"/>
      <c r="J7" s="273"/>
      <c r="K7" s="167"/>
      <c r="L7" s="167"/>
      <c r="M7" s="167"/>
      <c r="N7" s="273"/>
      <c r="O7" s="273"/>
      <c r="P7" s="281">
        <f>4800000000-1000346168-1005934644</f>
        <v>2793719188</v>
      </c>
      <c r="Q7" s="281"/>
      <c r="R7" s="281"/>
      <c r="S7" s="281"/>
      <c r="T7" s="281"/>
      <c r="U7" s="281"/>
      <c r="V7" s="273"/>
      <c r="W7" s="281"/>
      <c r="X7" s="281"/>
      <c r="Y7" s="281"/>
      <c r="Z7" s="281"/>
      <c r="AA7" s="281"/>
      <c r="AB7" s="281"/>
      <c r="AC7" s="273"/>
      <c r="AD7" s="281"/>
      <c r="AE7" s="281"/>
      <c r="AF7" s="281"/>
      <c r="AG7" s="281">
        <v>1500000000</v>
      </c>
      <c r="AH7" s="273"/>
      <c r="AI7" s="163"/>
      <c r="AJ7" s="173"/>
    </row>
    <row r="8" spans="1:36">
      <c r="A8" s="258" t="s">
        <v>492</v>
      </c>
      <c r="B8" s="162"/>
      <c r="C8" s="273"/>
      <c r="D8" s="273"/>
      <c r="E8" s="273"/>
      <c r="F8" s="273">
        <v>1005934644</v>
      </c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>
        <v>149414265</v>
      </c>
      <c r="R8" s="273"/>
      <c r="S8" s="273"/>
      <c r="T8" s="273">
        <v>1551767754</v>
      </c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163"/>
      <c r="AJ8" s="173"/>
    </row>
    <row r="9" spans="1:36">
      <c r="A9" s="166" t="s">
        <v>356</v>
      </c>
      <c r="B9" s="191"/>
      <c r="C9" s="163"/>
      <c r="D9" s="163"/>
      <c r="E9" s="163"/>
      <c r="F9" s="163"/>
      <c r="G9" s="163"/>
      <c r="H9" s="239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5"/>
      <c r="AJ9" s="154"/>
    </row>
    <row r="10" spans="1:36">
      <c r="A10" s="166" t="s">
        <v>480</v>
      </c>
      <c r="B10" s="191"/>
      <c r="C10" s="273"/>
      <c r="D10" s="273"/>
      <c r="E10" s="273"/>
      <c r="F10" s="273"/>
      <c r="G10" s="273"/>
      <c r="H10" s="171"/>
      <c r="I10" s="171"/>
      <c r="J10" s="170"/>
      <c r="K10" s="171"/>
      <c r="L10" s="171"/>
      <c r="M10" s="171"/>
      <c r="N10" s="171"/>
      <c r="O10" s="171"/>
      <c r="P10" s="171"/>
      <c r="Q10" s="171"/>
      <c r="R10" s="273">
        <v>156350471</v>
      </c>
      <c r="S10" s="170"/>
      <c r="T10" s="273"/>
      <c r="U10" s="273"/>
      <c r="V10" s="273"/>
      <c r="W10" s="273"/>
      <c r="X10" s="273">
        <f>166958470-40757242</f>
        <v>126201228</v>
      </c>
      <c r="Y10" s="273"/>
      <c r="Z10" s="273"/>
      <c r="AA10" s="273"/>
      <c r="AB10" s="273"/>
      <c r="AC10" s="273"/>
      <c r="AD10" s="273"/>
      <c r="AE10" s="273">
        <v>159164504</v>
      </c>
      <c r="AF10" s="273"/>
      <c r="AG10" s="273"/>
      <c r="AH10" s="273"/>
      <c r="AI10" s="165"/>
      <c r="AJ10" s="173"/>
    </row>
    <row r="11" spans="1:36">
      <c r="A11" s="166" t="s">
        <v>567</v>
      </c>
      <c r="B11" s="191"/>
      <c r="C11" s="175"/>
      <c r="D11" s="175"/>
      <c r="E11" s="175"/>
      <c r="F11" s="175"/>
      <c r="G11" s="273"/>
      <c r="H11" s="171"/>
      <c r="I11" s="175"/>
      <c r="J11" s="175"/>
      <c r="K11" s="175"/>
      <c r="L11" s="175"/>
      <c r="M11" s="175"/>
      <c r="N11" s="171"/>
      <c r="O11" s="171"/>
      <c r="P11" s="175">
        <v>307623565</v>
      </c>
      <c r="Q11" s="175"/>
      <c r="R11" s="175"/>
      <c r="S11" s="175"/>
      <c r="T11" s="175"/>
      <c r="U11" s="175"/>
      <c r="V11" s="171"/>
      <c r="W11" s="175"/>
      <c r="X11" s="175"/>
      <c r="Y11" s="175"/>
      <c r="Z11" s="175"/>
      <c r="AA11" s="175"/>
      <c r="AB11" s="175"/>
      <c r="AC11" s="273"/>
      <c r="AD11" s="175"/>
      <c r="AE11" s="175"/>
      <c r="AF11" s="175"/>
      <c r="AG11" s="175">
        <v>307623565</v>
      </c>
      <c r="AH11" s="273"/>
      <c r="AI11" s="165"/>
      <c r="AJ11" s="173"/>
    </row>
    <row r="12" spans="1:36">
      <c r="A12" s="166" t="s">
        <v>568</v>
      </c>
      <c r="B12" s="191"/>
      <c r="C12" s="175"/>
      <c r="D12" s="175"/>
      <c r="E12" s="175"/>
      <c r="F12" s="175"/>
      <c r="G12" s="273"/>
      <c r="H12" s="171"/>
      <c r="I12" s="175"/>
      <c r="J12" s="175"/>
      <c r="K12" s="175"/>
      <c r="L12" s="175"/>
      <c r="M12" s="175"/>
      <c r="N12" s="171"/>
      <c r="O12" s="171"/>
      <c r="P12" s="175">
        <v>91484800</v>
      </c>
      <c r="Q12" s="175"/>
      <c r="R12" s="175"/>
      <c r="S12" s="175"/>
      <c r="T12" s="175"/>
      <c r="U12" s="175"/>
      <c r="V12" s="171"/>
      <c r="W12" s="175"/>
      <c r="X12" s="175"/>
      <c r="Y12" s="175"/>
      <c r="Z12" s="175"/>
      <c r="AA12" s="175"/>
      <c r="AB12" s="175"/>
      <c r="AC12" s="273"/>
      <c r="AD12" s="175"/>
      <c r="AE12" s="175"/>
      <c r="AF12" s="175"/>
      <c r="AG12" s="175">
        <v>91484800</v>
      </c>
      <c r="AH12" s="273"/>
      <c r="AI12" s="165"/>
      <c r="AJ12" s="173"/>
    </row>
    <row r="13" spans="1:36">
      <c r="A13" s="166" t="s">
        <v>541</v>
      </c>
      <c r="B13" s="191"/>
      <c r="C13" s="175"/>
      <c r="D13" s="175"/>
      <c r="E13" s="175"/>
      <c r="F13" s="175"/>
      <c r="G13" s="273"/>
      <c r="H13" s="171"/>
      <c r="I13" s="175"/>
      <c r="J13" s="170"/>
      <c r="K13" s="175"/>
      <c r="L13" s="175"/>
      <c r="M13" s="175"/>
      <c r="N13" s="171"/>
      <c r="O13" s="171"/>
      <c r="P13" s="175"/>
      <c r="Q13" s="175"/>
      <c r="R13" s="175"/>
      <c r="S13" s="171"/>
      <c r="T13" s="171">
        <v>191723153</v>
      </c>
      <c r="U13" s="273"/>
      <c r="V13" s="171"/>
      <c r="W13" s="171"/>
      <c r="X13" s="171"/>
      <c r="Y13" s="171"/>
      <c r="Z13" s="171"/>
      <c r="AA13" s="171"/>
      <c r="AB13" s="175"/>
      <c r="AC13" s="273"/>
      <c r="AD13" s="171"/>
      <c r="AE13" s="171"/>
      <c r="AF13" s="171"/>
      <c r="AG13" s="171"/>
      <c r="AH13" s="273"/>
      <c r="AI13" s="165"/>
      <c r="AJ13" s="173"/>
    </row>
    <row r="14" spans="1:36">
      <c r="A14" s="166" t="s">
        <v>10</v>
      </c>
      <c r="B14" s="191"/>
      <c r="C14" s="273"/>
      <c r="D14" s="273"/>
      <c r="E14" s="273"/>
      <c r="F14" s="273"/>
      <c r="G14" s="273"/>
      <c r="H14" s="171"/>
      <c r="I14" s="273"/>
      <c r="J14" s="273"/>
      <c r="K14" s="273"/>
      <c r="L14" s="273"/>
      <c r="M14" s="273"/>
      <c r="N14" s="171"/>
      <c r="O14" s="171"/>
      <c r="P14" s="273"/>
      <c r="Q14" s="273"/>
      <c r="R14" s="273"/>
      <c r="S14" s="171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165"/>
      <c r="AJ14" s="173"/>
    </row>
    <row r="15" spans="1:36">
      <c r="A15" s="166" t="s">
        <v>205</v>
      </c>
      <c r="B15" s="191"/>
      <c r="C15" s="175"/>
      <c r="D15" s="171"/>
      <c r="E15" s="175"/>
      <c r="F15" s="175"/>
      <c r="G15" s="171"/>
      <c r="H15" s="171"/>
      <c r="I15" s="175"/>
      <c r="J15" s="171"/>
      <c r="K15" s="175"/>
      <c r="L15" s="175"/>
      <c r="M15" s="175"/>
      <c r="N15" s="171"/>
      <c r="O15" s="171"/>
      <c r="P15" s="175">
        <v>21000000</v>
      </c>
      <c r="Q15" s="175"/>
      <c r="R15" s="175"/>
      <c r="S15" s="171"/>
      <c r="T15" s="175"/>
      <c r="U15" s="171"/>
      <c r="V15" s="171"/>
      <c r="W15" s="175"/>
      <c r="X15" s="175"/>
      <c r="Y15" s="175"/>
      <c r="Z15" s="175"/>
      <c r="AA15" s="175"/>
      <c r="AB15" s="171"/>
      <c r="AC15" s="171"/>
      <c r="AD15" s="175"/>
      <c r="AE15" s="175"/>
      <c r="AF15" s="175"/>
      <c r="AG15" s="175">
        <v>21000000</v>
      </c>
      <c r="AH15" s="274"/>
      <c r="AI15" s="165"/>
      <c r="AJ15" s="234"/>
    </row>
    <row r="16" spans="1:36">
      <c r="A16" s="166" t="s">
        <v>206</v>
      </c>
      <c r="B16" s="191"/>
      <c r="C16" s="175"/>
      <c r="D16" s="171"/>
      <c r="E16" s="175"/>
      <c r="F16" s="175"/>
      <c r="G16" s="171"/>
      <c r="H16" s="171"/>
      <c r="I16" s="175"/>
      <c r="J16" s="171"/>
      <c r="K16" s="175"/>
      <c r="L16" s="175"/>
      <c r="M16" s="175"/>
      <c r="N16" s="171"/>
      <c r="O16" s="171"/>
      <c r="P16" s="175">
        <v>14000000</v>
      </c>
      <c r="Q16" s="175"/>
      <c r="R16" s="175"/>
      <c r="S16" s="171"/>
      <c r="T16" s="175"/>
      <c r="U16" s="171"/>
      <c r="V16" s="171"/>
      <c r="W16" s="175"/>
      <c r="X16" s="175"/>
      <c r="Y16" s="175"/>
      <c r="Z16" s="175"/>
      <c r="AA16" s="175"/>
      <c r="AB16" s="171"/>
      <c r="AC16" s="171"/>
      <c r="AD16" s="175"/>
      <c r="AE16" s="175"/>
      <c r="AF16" s="175"/>
      <c r="AG16" s="175">
        <v>14000000</v>
      </c>
      <c r="AH16" s="274"/>
      <c r="AI16" s="165"/>
      <c r="AJ16" s="234">
        <f>SUM(AI15:AI16)</f>
        <v>0</v>
      </c>
    </row>
    <row r="17" spans="1:36">
      <c r="A17" s="166" t="s">
        <v>578</v>
      </c>
      <c r="B17" s="191"/>
      <c r="C17" s="175"/>
      <c r="D17" s="171"/>
      <c r="E17" s="175"/>
      <c r="F17" s="171"/>
      <c r="G17" s="171"/>
      <c r="H17" s="171"/>
      <c r="I17" s="175"/>
      <c r="J17" s="171"/>
      <c r="K17" s="175"/>
      <c r="L17" s="175"/>
      <c r="M17" s="175"/>
      <c r="N17" s="171"/>
      <c r="O17" s="171"/>
      <c r="P17" s="280">
        <f>1700000000-360845307</f>
        <v>1339154693</v>
      </c>
      <c r="Q17" s="280"/>
      <c r="R17" s="280"/>
      <c r="S17" s="280"/>
      <c r="T17" s="280"/>
      <c r="U17" s="280"/>
      <c r="V17" s="171"/>
      <c r="W17" s="280"/>
      <c r="X17" s="280"/>
      <c r="Y17" s="280"/>
      <c r="Z17" s="280"/>
      <c r="AA17" s="280"/>
      <c r="AB17" s="280"/>
      <c r="AC17" s="171"/>
      <c r="AD17" s="280"/>
      <c r="AE17" s="280"/>
      <c r="AF17" s="280"/>
      <c r="AG17" s="280">
        <v>1000000000</v>
      </c>
      <c r="AH17" s="171"/>
      <c r="AI17" s="165"/>
      <c r="AJ17" s="234"/>
    </row>
    <row r="18" spans="1:36">
      <c r="A18" s="166" t="s">
        <v>579</v>
      </c>
      <c r="B18" s="191"/>
      <c r="C18" s="171"/>
      <c r="D18" s="171"/>
      <c r="E18" s="171"/>
      <c r="G18" s="171"/>
      <c r="H18" s="171"/>
      <c r="I18" s="171"/>
      <c r="J18" s="171"/>
      <c r="K18" s="171"/>
      <c r="L18" s="171"/>
      <c r="M18" s="171">
        <v>996582230</v>
      </c>
      <c r="N18" s="171"/>
      <c r="O18" s="171"/>
      <c r="P18" s="171"/>
      <c r="Q18" s="171"/>
      <c r="R18" s="171"/>
      <c r="S18" s="171"/>
      <c r="T18" s="171"/>
      <c r="U18" s="171"/>
      <c r="V18" s="171"/>
      <c r="W18" s="175"/>
      <c r="X18" s="171"/>
      <c r="Y18" s="171"/>
      <c r="Z18" s="175"/>
      <c r="AA18" s="171">
        <f>360633809-19331510</f>
        <v>341302299</v>
      </c>
      <c r="AB18" s="171"/>
      <c r="AC18" s="171"/>
      <c r="AD18" s="171"/>
      <c r="AE18" s="171"/>
      <c r="AF18" s="171"/>
      <c r="AG18" s="171"/>
      <c r="AH18" s="171"/>
      <c r="AI18" s="165"/>
      <c r="AJ18" s="234"/>
    </row>
    <row r="19" spans="1:36">
      <c r="A19" s="166" t="s">
        <v>261</v>
      </c>
      <c r="B19" s="19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65"/>
      <c r="AJ19" s="234"/>
    </row>
    <row r="20" spans="1:36">
      <c r="A20" s="166" t="s">
        <v>537</v>
      </c>
      <c r="B20" s="191"/>
      <c r="C20" s="175"/>
      <c r="D20" s="175"/>
      <c r="E20" s="175"/>
      <c r="F20" s="175"/>
      <c r="G20" s="171"/>
      <c r="H20" s="171"/>
      <c r="I20" s="172"/>
      <c r="J20" s="171"/>
      <c r="K20" s="172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5"/>
      <c r="X20" s="175"/>
      <c r="Y20" s="175"/>
      <c r="Z20" s="171"/>
      <c r="AA20" s="175"/>
      <c r="AB20" s="175"/>
      <c r="AC20" s="171"/>
      <c r="AD20" s="175"/>
      <c r="AE20" s="175"/>
      <c r="AF20" s="175"/>
      <c r="AG20" s="175"/>
      <c r="AH20" s="169"/>
      <c r="AI20" s="165"/>
      <c r="AJ20" s="234"/>
    </row>
    <row r="21" spans="1:36">
      <c r="A21" s="166" t="s">
        <v>538</v>
      </c>
      <c r="B21" s="191"/>
      <c r="C21" s="175"/>
      <c r="D21" s="175"/>
      <c r="E21" s="175"/>
      <c r="F21" s="175"/>
      <c r="G21" s="171"/>
      <c r="H21" s="171"/>
      <c r="I21" s="175"/>
      <c r="J21" s="175"/>
      <c r="K21" s="175"/>
      <c r="L21" s="175"/>
      <c r="M21" s="175"/>
      <c r="N21" s="171"/>
      <c r="O21" s="171"/>
      <c r="P21" s="175"/>
      <c r="Q21" s="175"/>
      <c r="R21" s="172"/>
      <c r="S21" s="175"/>
      <c r="T21" s="171"/>
      <c r="U21" s="171"/>
      <c r="V21" s="171"/>
      <c r="W21" s="175"/>
      <c r="X21" s="175"/>
      <c r="Y21" s="175"/>
      <c r="Z21" s="171"/>
      <c r="AA21" s="175"/>
      <c r="AB21" s="175"/>
      <c r="AC21" s="171"/>
      <c r="AD21" s="175"/>
      <c r="AE21" s="175"/>
      <c r="AF21" s="175"/>
      <c r="AG21" s="175"/>
      <c r="AH21" s="169"/>
      <c r="AI21" s="165"/>
      <c r="AJ21" s="234"/>
    </row>
    <row r="22" spans="1:36">
      <c r="A22" s="166" t="s">
        <v>569</v>
      </c>
      <c r="B22" s="191"/>
      <c r="C22" s="175"/>
      <c r="D22" s="175"/>
      <c r="E22" s="175"/>
      <c r="F22" s="175"/>
      <c r="G22" s="171"/>
      <c r="H22" s="171"/>
      <c r="I22" s="175"/>
      <c r="J22" s="175"/>
      <c r="K22" s="175"/>
      <c r="L22" s="175"/>
      <c r="M22" s="175"/>
      <c r="N22" s="171"/>
      <c r="O22" s="171"/>
      <c r="P22" s="175"/>
      <c r="Q22" s="175"/>
      <c r="R22" s="172"/>
      <c r="S22" s="175"/>
      <c r="T22" s="171"/>
      <c r="U22" s="171"/>
      <c r="V22" s="171"/>
      <c r="W22" s="175"/>
      <c r="X22" s="175"/>
      <c r="Y22" s="175"/>
      <c r="Z22" s="171"/>
      <c r="AA22" s="175"/>
      <c r="AB22" s="175"/>
      <c r="AC22" s="171"/>
      <c r="AD22" s="175"/>
      <c r="AE22" s="175"/>
      <c r="AF22" s="175"/>
      <c r="AG22" s="175"/>
      <c r="AH22" s="169"/>
      <c r="AI22" s="165"/>
      <c r="AJ22" s="234"/>
    </row>
    <row r="23" spans="1:36">
      <c r="A23" s="166" t="s">
        <v>570</v>
      </c>
      <c r="B23" s="191"/>
      <c r="C23" s="175"/>
      <c r="D23" s="175"/>
      <c r="E23" s="175"/>
      <c r="F23" s="175"/>
      <c r="G23" s="171"/>
      <c r="H23" s="171"/>
      <c r="I23" s="175"/>
      <c r="J23" s="175"/>
      <c r="K23" s="172">
        <v>108520132</v>
      </c>
      <c r="L23" s="175"/>
      <c r="M23" s="175"/>
      <c r="N23" s="171"/>
      <c r="O23" s="171"/>
      <c r="P23" s="175"/>
      <c r="Q23" s="175"/>
      <c r="R23" s="172"/>
      <c r="S23" s="175"/>
      <c r="T23" s="171"/>
      <c r="U23" s="171"/>
      <c r="V23" s="171"/>
      <c r="W23" s="175"/>
      <c r="X23" s="175"/>
      <c r="Y23" s="175"/>
      <c r="Z23" s="171"/>
      <c r="AA23" s="175"/>
      <c r="AB23" s="175"/>
      <c r="AC23" s="171"/>
      <c r="AD23" s="175"/>
      <c r="AE23" s="175"/>
      <c r="AF23" s="175"/>
      <c r="AG23" s="175"/>
      <c r="AH23" s="169"/>
      <c r="AI23" s="165"/>
      <c r="AJ23" s="234"/>
    </row>
    <row r="24" spans="1:36">
      <c r="A24" s="166" t="s">
        <v>571</v>
      </c>
      <c r="B24" s="191"/>
      <c r="C24" s="175"/>
      <c r="D24" s="175"/>
      <c r="E24" s="175"/>
      <c r="F24" s="175"/>
      <c r="G24" s="171"/>
      <c r="H24" s="171"/>
      <c r="I24" s="175"/>
      <c r="J24" s="175"/>
      <c r="K24" s="172">
        <v>125070379</v>
      </c>
      <c r="L24" s="175"/>
      <c r="M24" s="175"/>
      <c r="N24" s="171"/>
      <c r="O24" s="171"/>
      <c r="P24" s="175"/>
      <c r="Q24" s="175"/>
      <c r="R24" s="172"/>
      <c r="S24" s="175"/>
      <c r="T24" s="171"/>
      <c r="U24" s="171"/>
      <c r="V24" s="171"/>
      <c r="W24" s="175"/>
      <c r="X24" s="175"/>
      <c r="Y24" s="175"/>
      <c r="Z24" s="171"/>
      <c r="AA24" s="175"/>
      <c r="AB24" s="175"/>
      <c r="AC24" s="171"/>
      <c r="AD24" s="175"/>
      <c r="AE24" s="175"/>
      <c r="AF24" s="175"/>
      <c r="AG24" s="175"/>
      <c r="AH24" s="169"/>
      <c r="AI24" s="165"/>
      <c r="AJ24" s="234"/>
    </row>
    <row r="25" spans="1:36">
      <c r="A25" s="166" t="s">
        <v>572</v>
      </c>
      <c r="B25" s="191"/>
      <c r="C25" s="175"/>
      <c r="D25" s="175"/>
      <c r="E25" s="175"/>
      <c r="F25" s="175"/>
      <c r="G25" s="171"/>
      <c r="H25" s="171"/>
      <c r="I25" s="175"/>
      <c r="J25" s="175"/>
      <c r="K25" s="175"/>
      <c r="L25" s="175"/>
      <c r="M25" s="175"/>
      <c r="N25" s="171"/>
      <c r="O25" s="171"/>
      <c r="P25" s="175">
        <v>106583888</v>
      </c>
      <c r="Q25" s="172">
        <v>106583888</v>
      </c>
      <c r="R25" s="172"/>
      <c r="S25" s="175"/>
      <c r="T25" s="171"/>
      <c r="U25" s="171"/>
      <c r="V25" s="171"/>
      <c r="W25" s="175"/>
      <c r="X25" s="175"/>
      <c r="Y25" s="175"/>
      <c r="Z25" s="171"/>
      <c r="AA25" s="175"/>
      <c r="AB25" s="175"/>
      <c r="AC25" s="171"/>
      <c r="AD25" s="175"/>
      <c r="AE25" s="175"/>
      <c r="AF25" s="175"/>
      <c r="AG25" s="175"/>
      <c r="AH25" s="169"/>
      <c r="AI25" s="165"/>
      <c r="AJ25" s="234"/>
    </row>
    <row r="26" spans="1:36">
      <c r="A26" s="166" t="s">
        <v>573</v>
      </c>
      <c r="B26" s="191"/>
      <c r="C26" s="175"/>
      <c r="D26" s="175"/>
      <c r="E26" s="175"/>
      <c r="F26" s="175"/>
      <c r="G26" s="171"/>
      <c r="H26" s="171"/>
      <c r="I26" s="175"/>
      <c r="J26" s="175"/>
      <c r="K26" s="175"/>
      <c r="L26" s="175"/>
      <c r="M26" s="175"/>
      <c r="N26" s="171"/>
      <c r="O26" s="171"/>
      <c r="P26" s="175">
        <v>104744130</v>
      </c>
      <c r="Q26" s="172">
        <v>104744130</v>
      </c>
      <c r="R26" s="172"/>
      <c r="S26" s="175"/>
      <c r="T26" s="171"/>
      <c r="U26" s="171"/>
      <c r="V26" s="171"/>
      <c r="W26" s="175"/>
      <c r="X26" s="175"/>
      <c r="Y26" s="175"/>
      <c r="Z26" s="171"/>
      <c r="AA26" s="175"/>
      <c r="AB26" s="175"/>
      <c r="AC26" s="171"/>
      <c r="AD26" s="175"/>
      <c r="AE26" s="175"/>
      <c r="AF26" s="175"/>
      <c r="AG26" s="175"/>
      <c r="AH26" s="169"/>
      <c r="AI26" s="165"/>
      <c r="AJ26" s="234"/>
    </row>
    <row r="27" spans="1:36">
      <c r="A27" s="166" t="s">
        <v>601</v>
      </c>
      <c r="B27" s="191"/>
      <c r="C27" s="175"/>
      <c r="D27" s="175"/>
      <c r="E27" s="175"/>
      <c r="F27" s="175"/>
      <c r="G27" s="171"/>
      <c r="H27" s="171"/>
      <c r="I27" s="175"/>
      <c r="J27" s="175"/>
      <c r="K27" s="175"/>
      <c r="L27" s="175"/>
      <c r="M27" s="175"/>
      <c r="N27" s="171"/>
      <c r="O27" s="171"/>
      <c r="P27" s="175">
        <v>125563289</v>
      </c>
      <c r="Q27" s="172">
        <v>125563289</v>
      </c>
      <c r="R27" s="172"/>
      <c r="S27" s="175"/>
      <c r="T27" s="171"/>
      <c r="U27" s="171"/>
      <c r="V27" s="171"/>
      <c r="W27" s="175"/>
      <c r="X27" s="175"/>
      <c r="Y27" s="175"/>
      <c r="Z27" s="171"/>
      <c r="AA27" s="175"/>
      <c r="AB27" s="175"/>
      <c r="AC27" s="171"/>
      <c r="AD27" s="175"/>
      <c r="AE27" s="175"/>
      <c r="AF27" s="175"/>
      <c r="AG27" s="175"/>
      <c r="AH27" s="169"/>
      <c r="AI27" s="165"/>
      <c r="AJ27" s="234"/>
    </row>
    <row r="28" spans="1:36">
      <c r="A28" s="166" t="s">
        <v>479</v>
      </c>
      <c r="B28" s="191"/>
      <c r="C28" s="175"/>
      <c r="D28" s="175"/>
      <c r="E28" s="175"/>
      <c r="F28" s="175"/>
      <c r="G28" s="171"/>
      <c r="H28" s="171"/>
      <c r="I28" s="175"/>
      <c r="J28" s="175"/>
      <c r="K28" s="175"/>
      <c r="L28" s="175"/>
      <c r="M28" s="175"/>
      <c r="N28" s="171"/>
      <c r="O28" s="171"/>
      <c r="P28" s="175"/>
      <c r="Q28" s="172"/>
      <c r="R28" s="172"/>
      <c r="S28" s="175"/>
      <c r="T28" s="171"/>
      <c r="U28" s="171"/>
      <c r="V28" s="171"/>
      <c r="W28" s="175"/>
      <c r="X28" s="175"/>
      <c r="Y28" s="175"/>
      <c r="Z28" s="171">
        <v>109311837</v>
      </c>
      <c r="AA28" s="175"/>
      <c r="AB28" s="175"/>
      <c r="AC28" s="171"/>
      <c r="AD28" s="175"/>
      <c r="AE28" s="175"/>
      <c r="AF28" s="175"/>
      <c r="AG28" s="175"/>
      <c r="AH28" s="169"/>
      <c r="AI28" s="165"/>
      <c r="AJ28" s="234"/>
    </row>
    <row r="29" spans="1:36">
      <c r="A29" s="166" t="s">
        <v>17</v>
      </c>
      <c r="B29" s="19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2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>
        <v>90840000</v>
      </c>
      <c r="AE29" s="171"/>
      <c r="AF29" s="171"/>
      <c r="AG29" s="171"/>
      <c r="AH29" s="171"/>
      <c r="AI29" s="165"/>
      <c r="AJ29" s="234"/>
    </row>
    <row r="30" spans="1:36">
      <c r="A30" s="166" t="s">
        <v>18</v>
      </c>
      <c r="B30" s="191"/>
      <c r="C30" s="273"/>
      <c r="D30" s="273"/>
      <c r="E30" s="273"/>
      <c r="F30" s="273"/>
      <c r="G30" s="273"/>
      <c r="H30" s="171"/>
      <c r="I30" s="273"/>
      <c r="J30" s="273"/>
      <c r="K30" s="273"/>
      <c r="L30" s="273"/>
      <c r="M30" s="273"/>
      <c r="N30" s="273"/>
      <c r="O30" s="273"/>
      <c r="P30" s="273"/>
      <c r="Q30" s="273"/>
      <c r="R30" s="273">
        <f>590297996-545705852</f>
        <v>44592144</v>
      </c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165"/>
      <c r="AJ30" s="233"/>
    </row>
    <row r="31" spans="1:36">
      <c r="A31" s="166" t="s">
        <v>19</v>
      </c>
      <c r="B31" s="191"/>
      <c r="C31" s="273"/>
      <c r="D31" s="273"/>
      <c r="E31" s="273"/>
      <c r="F31" s="273"/>
      <c r="G31" s="273"/>
      <c r="H31" s="171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165"/>
      <c r="AJ31" s="233"/>
    </row>
    <row r="32" spans="1:36">
      <c r="A32" s="166" t="s">
        <v>530</v>
      </c>
      <c r="B32" s="191"/>
      <c r="C32" s="273"/>
      <c r="D32" s="273"/>
      <c r="E32" s="273"/>
      <c r="F32" s="273"/>
      <c r="G32" s="273"/>
      <c r="H32" s="171"/>
      <c r="I32" s="273"/>
      <c r="J32" s="273"/>
      <c r="K32" s="273"/>
      <c r="L32" s="273">
        <f>26197698-6468912</f>
        <v>19728786</v>
      </c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>
        <f>19250997-17052000</f>
        <v>2198997</v>
      </c>
      <c r="Z32" s="273"/>
      <c r="AA32" s="273"/>
      <c r="AB32" s="171"/>
      <c r="AC32" s="273"/>
      <c r="AD32" s="273"/>
      <c r="AE32" s="273"/>
      <c r="AF32" s="273"/>
      <c r="AG32" s="273"/>
      <c r="AH32" s="275"/>
      <c r="AI32" s="165"/>
      <c r="AJ32" s="233"/>
    </row>
    <row r="33" spans="1:38">
      <c r="A33" s="166" t="s">
        <v>43</v>
      </c>
      <c r="B33" s="191"/>
      <c r="C33" s="273"/>
      <c r="D33" s="273"/>
      <c r="E33" s="273"/>
      <c r="F33" s="273"/>
      <c r="G33" s="273"/>
      <c r="H33" s="171"/>
      <c r="I33" s="171"/>
      <c r="J33" s="273"/>
      <c r="K33" s="273"/>
      <c r="L33" s="171"/>
      <c r="M33" s="273"/>
      <c r="N33" s="273"/>
      <c r="O33" s="273"/>
      <c r="P33" s="273"/>
      <c r="Q33" s="273"/>
      <c r="R33" s="170"/>
      <c r="S33" s="273"/>
      <c r="T33" s="273"/>
      <c r="U33" s="171"/>
      <c r="V33" s="171"/>
      <c r="W33" s="273"/>
      <c r="X33" s="273"/>
      <c r="Y33" s="273"/>
      <c r="Z33" s="273"/>
      <c r="AA33" s="273"/>
      <c r="AB33" s="171"/>
      <c r="AC33" s="273"/>
      <c r="AD33" s="273"/>
      <c r="AE33" s="273"/>
      <c r="AF33" s="273"/>
      <c r="AG33" s="273"/>
      <c r="AH33" s="273"/>
      <c r="AI33" s="165"/>
      <c r="AJ33" s="233"/>
    </row>
    <row r="34" spans="1:38">
      <c r="A34" s="166" t="s">
        <v>318</v>
      </c>
      <c r="B34" s="191"/>
      <c r="C34" s="170"/>
      <c r="D34" s="170"/>
      <c r="E34" s="170"/>
      <c r="F34" s="170"/>
      <c r="G34" s="273"/>
      <c r="H34" s="171"/>
      <c r="I34" s="171">
        <v>138630961</v>
      </c>
      <c r="J34" s="170"/>
      <c r="K34" s="171"/>
      <c r="L34" s="171"/>
      <c r="M34" s="170"/>
      <c r="N34" s="170"/>
      <c r="O34" s="273"/>
      <c r="P34" s="170"/>
      <c r="Q34" s="170"/>
      <c r="R34" s="273"/>
      <c r="S34" s="171"/>
      <c r="T34" s="170"/>
      <c r="U34" s="171"/>
      <c r="V34" s="171"/>
      <c r="W34" s="170"/>
      <c r="X34" s="170"/>
      <c r="Y34" s="170"/>
      <c r="Z34" s="171">
        <f>152096314-149164271</f>
        <v>2932043</v>
      </c>
      <c r="AA34" s="170"/>
      <c r="AB34" s="171"/>
      <c r="AC34" s="170"/>
      <c r="AD34" s="170"/>
      <c r="AE34" s="170"/>
      <c r="AF34" s="170"/>
      <c r="AG34" s="170"/>
      <c r="AH34" s="170"/>
      <c r="AI34" s="165"/>
      <c r="AJ34" s="233"/>
    </row>
    <row r="35" spans="1:38">
      <c r="A35" s="166" t="s">
        <v>447</v>
      </c>
      <c r="B35" s="191"/>
      <c r="C35" s="170"/>
      <c r="D35" s="170"/>
      <c r="E35" s="170"/>
      <c r="F35" s="170"/>
      <c r="G35" s="273"/>
      <c r="H35" s="171"/>
      <c r="I35" s="171"/>
      <c r="J35" s="170"/>
      <c r="K35" s="170"/>
      <c r="L35" s="171"/>
      <c r="M35" s="170"/>
      <c r="N35" s="170"/>
      <c r="O35" s="273"/>
      <c r="P35" s="170"/>
      <c r="Q35" s="170"/>
      <c r="R35" s="273"/>
      <c r="S35" s="171"/>
      <c r="T35" s="170"/>
      <c r="U35" s="171"/>
      <c r="V35" s="171"/>
      <c r="W35" s="170"/>
      <c r="X35" s="170"/>
      <c r="Y35" s="170"/>
      <c r="Z35" s="170"/>
      <c r="AA35" s="170"/>
      <c r="AB35" s="171"/>
      <c r="AC35" s="170"/>
      <c r="AD35" s="170"/>
      <c r="AE35" s="170"/>
      <c r="AF35" s="170"/>
      <c r="AG35" s="170"/>
      <c r="AH35" s="170"/>
      <c r="AI35" s="165"/>
      <c r="AJ35" s="233"/>
    </row>
    <row r="36" spans="1:38">
      <c r="A36" s="166" t="s">
        <v>348</v>
      </c>
      <c r="B36" s="191"/>
      <c r="C36" s="273"/>
      <c r="D36" s="273"/>
      <c r="E36" s="273"/>
      <c r="F36" s="273"/>
      <c r="G36" s="171"/>
      <c r="H36" s="171"/>
      <c r="I36" s="171"/>
      <c r="J36" s="273"/>
      <c r="K36" s="273"/>
      <c r="L36" s="273"/>
      <c r="M36" s="273"/>
      <c r="N36" s="273"/>
      <c r="O36" s="170"/>
      <c r="P36" s="273"/>
      <c r="Q36" s="273"/>
      <c r="R36" s="273"/>
      <c r="S36" s="171"/>
      <c r="T36" s="273"/>
      <c r="U36" s="171"/>
      <c r="V36" s="171"/>
      <c r="W36" s="273"/>
      <c r="X36" s="273"/>
      <c r="Y36" s="273"/>
      <c r="Z36" s="273"/>
      <c r="AA36" s="273"/>
      <c r="AB36" s="171"/>
      <c r="AC36" s="273"/>
      <c r="AD36" s="273"/>
      <c r="AE36" s="273"/>
      <c r="AF36" s="273"/>
      <c r="AG36" s="273"/>
      <c r="AH36" s="273"/>
      <c r="AI36" s="165"/>
      <c r="AJ36" s="235"/>
    </row>
    <row r="37" spans="1:38">
      <c r="A37" s="166" t="s">
        <v>354</v>
      </c>
      <c r="B37" s="191"/>
      <c r="C37" s="273"/>
      <c r="D37" s="273"/>
      <c r="E37" s="273"/>
      <c r="F37" s="273"/>
      <c r="G37" s="171"/>
      <c r="H37" s="171"/>
      <c r="I37" s="273">
        <v>138729243</v>
      </c>
      <c r="J37" s="273"/>
      <c r="K37" s="273"/>
      <c r="L37" s="273"/>
      <c r="M37" s="273"/>
      <c r="N37" s="273"/>
      <c r="O37" s="170"/>
      <c r="P37" s="273"/>
      <c r="Q37" s="273"/>
      <c r="R37" s="273"/>
      <c r="S37" s="171"/>
      <c r="T37" s="273">
        <v>30311299</v>
      </c>
      <c r="U37" s="273"/>
      <c r="V37" s="273"/>
      <c r="W37" s="273"/>
      <c r="X37" s="273"/>
      <c r="Y37" s="273"/>
      <c r="Z37" s="273"/>
      <c r="AA37" s="273">
        <f>25401170+264433</f>
        <v>25665603</v>
      </c>
      <c r="AB37" s="273"/>
      <c r="AC37" s="273"/>
      <c r="AD37" s="273"/>
      <c r="AE37" s="273"/>
      <c r="AF37" s="273"/>
      <c r="AG37" s="273"/>
      <c r="AH37" s="273"/>
      <c r="AI37" s="165"/>
      <c r="AJ37" s="235"/>
    </row>
    <row r="38" spans="1:38">
      <c r="A38" s="166" t="s">
        <v>350</v>
      </c>
      <c r="B38" s="191"/>
      <c r="C38" s="273"/>
      <c r="D38" s="273"/>
      <c r="E38" s="273"/>
      <c r="F38" s="273"/>
      <c r="G38" s="273"/>
      <c r="H38" s="171"/>
      <c r="I38" s="273"/>
      <c r="J38" s="273"/>
      <c r="K38" s="273"/>
      <c r="L38" s="273"/>
      <c r="M38" s="273"/>
      <c r="N38" s="273"/>
      <c r="O38" s="170"/>
      <c r="P38" s="273"/>
      <c r="Q38" s="273"/>
      <c r="R38" s="170"/>
      <c r="S38" s="273"/>
      <c r="T38" s="273"/>
      <c r="U38" s="170"/>
      <c r="V38" s="170"/>
      <c r="W38" s="273"/>
      <c r="X38" s="273"/>
      <c r="Y38" s="273"/>
      <c r="Z38" s="273"/>
      <c r="AA38" s="273"/>
      <c r="AB38" s="170"/>
      <c r="AC38" s="273"/>
      <c r="AD38" s="273"/>
      <c r="AE38" s="273"/>
      <c r="AF38" s="273"/>
      <c r="AG38" s="273"/>
      <c r="AH38" s="273"/>
      <c r="AI38" s="165"/>
      <c r="AJ38" s="235"/>
    </row>
    <row r="39" spans="1:38">
      <c r="A39" s="166" t="s">
        <v>494</v>
      </c>
      <c r="B39" s="191"/>
      <c r="C39" s="273"/>
      <c r="D39" s="273"/>
      <c r="E39" s="273"/>
      <c r="F39" s="273"/>
      <c r="G39" s="273"/>
      <c r="H39" s="171"/>
      <c r="I39" s="273"/>
      <c r="J39" s="273"/>
      <c r="K39" s="273"/>
      <c r="L39" s="273"/>
      <c r="M39" s="273"/>
      <c r="N39" s="273"/>
      <c r="O39" s="170"/>
      <c r="P39" s="273"/>
      <c r="Q39" s="273"/>
      <c r="R39" s="170"/>
      <c r="S39" s="273"/>
      <c r="T39" s="273"/>
      <c r="U39" s="170"/>
      <c r="V39" s="170"/>
      <c r="W39" s="273"/>
      <c r="X39" s="273"/>
      <c r="Y39" s="273"/>
      <c r="Z39" s="273"/>
      <c r="AA39" s="273"/>
      <c r="AB39" s="170"/>
      <c r="AC39" s="273"/>
      <c r="AD39" s="273"/>
      <c r="AE39" s="273"/>
      <c r="AF39" s="273"/>
      <c r="AG39" s="273"/>
      <c r="AH39" s="273"/>
      <c r="AI39" s="165"/>
      <c r="AJ39" s="235"/>
    </row>
    <row r="40" spans="1:38">
      <c r="A40" s="166" t="s">
        <v>194</v>
      </c>
      <c r="B40" s="19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274"/>
      <c r="AI40" s="165"/>
      <c r="AJ40" s="234"/>
    </row>
    <row r="41" spans="1:38">
      <c r="A41" s="166" t="s">
        <v>192</v>
      </c>
      <c r="B41" s="19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274"/>
      <c r="AI41" s="165"/>
      <c r="AJ41" s="234">
        <f>SUM(AI40:AI41)</f>
        <v>0</v>
      </c>
    </row>
    <row r="42" spans="1:38">
      <c r="A42" s="166" t="s">
        <v>576</v>
      </c>
      <c r="B42" s="191"/>
      <c r="C42" s="175"/>
      <c r="D42" s="171"/>
      <c r="E42" s="175"/>
      <c r="F42" s="175"/>
      <c r="G42" s="171"/>
      <c r="H42" s="171"/>
      <c r="I42" s="175"/>
      <c r="J42" s="171"/>
      <c r="K42" s="175"/>
      <c r="L42" s="175"/>
      <c r="M42" s="175"/>
      <c r="N42" s="171"/>
      <c r="O42" s="171"/>
      <c r="P42" s="175">
        <v>103374298</v>
      </c>
      <c r="Q42" s="175"/>
      <c r="R42" s="175"/>
      <c r="S42" s="171"/>
      <c r="T42" s="175"/>
      <c r="U42" s="171"/>
      <c r="V42" s="171"/>
      <c r="W42" s="175"/>
      <c r="X42" s="175"/>
      <c r="Y42" s="175"/>
      <c r="Z42" s="175"/>
      <c r="AA42" s="175"/>
      <c r="AB42" s="171"/>
      <c r="AC42" s="171"/>
      <c r="AD42" s="175"/>
      <c r="AE42" s="175"/>
      <c r="AF42" s="175"/>
      <c r="AG42" s="175">
        <v>103374298</v>
      </c>
      <c r="AH42" s="274"/>
      <c r="AI42" s="165"/>
      <c r="AJ42" s="234"/>
      <c r="AK42" s="184"/>
      <c r="AL42" s="186">
        <f>6325269+60889034</f>
        <v>67214303</v>
      </c>
    </row>
    <row r="43" spans="1:38">
      <c r="A43" s="187" t="s">
        <v>327</v>
      </c>
      <c r="B43" s="191"/>
      <c r="C43" s="175"/>
      <c r="D43" s="171"/>
      <c r="E43" s="175"/>
      <c r="F43" s="175"/>
      <c r="G43" s="171"/>
      <c r="H43" s="171"/>
      <c r="I43" s="175"/>
      <c r="J43" s="171"/>
      <c r="K43" s="175"/>
      <c r="L43" s="175"/>
      <c r="M43" s="175"/>
      <c r="N43" s="171"/>
      <c r="O43" s="171"/>
      <c r="P43" s="175">
        <v>61709422</v>
      </c>
      <c r="Q43" s="175"/>
      <c r="R43" s="175"/>
      <c r="S43" s="171"/>
      <c r="T43" s="175"/>
      <c r="U43" s="171"/>
      <c r="V43" s="171"/>
      <c r="W43" s="175"/>
      <c r="X43" s="175"/>
      <c r="Y43" s="175"/>
      <c r="Z43" s="175"/>
      <c r="AA43" s="175"/>
      <c r="AB43" s="171"/>
      <c r="AC43" s="171"/>
      <c r="AD43" s="175"/>
      <c r="AE43" s="175"/>
      <c r="AF43" s="175"/>
      <c r="AG43" s="175">
        <v>61709422</v>
      </c>
      <c r="AH43" s="274"/>
      <c r="AI43" s="165"/>
      <c r="AJ43" s="234"/>
      <c r="AK43" s="184"/>
      <c r="AL43" s="186"/>
    </row>
    <row r="44" spans="1:38">
      <c r="A44" s="187" t="s">
        <v>328</v>
      </c>
      <c r="B44" s="191"/>
      <c r="C44" s="175"/>
      <c r="D44" s="171"/>
      <c r="E44" s="175"/>
      <c r="F44" s="175"/>
      <c r="G44" s="171"/>
      <c r="H44" s="171"/>
      <c r="I44" s="175"/>
      <c r="J44" s="171"/>
      <c r="K44" s="175"/>
      <c r="L44" s="175"/>
      <c r="M44" s="175"/>
      <c r="N44" s="171"/>
      <c r="O44" s="171"/>
      <c r="P44" s="175">
        <v>349578345</v>
      </c>
      <c r="Q44" s="175"/>
      <c r="R44" s="175"/>
      <c r="S44" s="171"/>
      <c r="T44" s="175"/>
      <c r="U44" s="171"/>
      <c r="V44" s="171"/>
      <c r="W44" s="175"/>
      <c r="X44" s="175"/>
      <c r="Y44" s="175"/>
      <c r="Z44" s="175"/>
      <c r="AA44" s="175"/>
      <c r="AB44" s="171"/>
      <c r="AC44" s="171"/>
      <c r="AD44" s="175"/>
      <c r="AE44" s="175"/>
      <c r="AF44" s="175"/>
      <c r="AG44" s="175">
        <v>349578345</v>
      </c>
      <c r="AH44" s="274"/>
      <c r="AI44" s="165"/>
      <c r="AJ44" s="234"/>
      <c r="AK44" s="184"/>
      <c r="AL44" s="185"/>
    </row>
    <row r="45" spans="1:38">
      <c r="A45" s="187" t="s">
        <v>330</v>
      </c>
      <c r="B45" s="191"/>
      <c r="C45" s="175"/>
      <c r="D45" s="171"/>
      <c r="E45" s="175"/>
      <c r="F45" s="175"/>
      <c r="G45" s="171"/>
      <c r="H45" s="171"/>
      <c r="I45" s="175"/>
      <c r="J45" s="171"/>
      <c r="K45" s="175"/>
      <c r="L45" s="175"/>
      <c r="M45" s="175"/>
      <c r="N45" s="171"/>
      <c r="O45" s="171"/>
      <c r="P45" s="175">
        <v>416002400</v>
      </c>
      <c r="Q45" s="175"/>
      <c r="R45" s="175"/>
      <c r="S45" s="171"/>
      <c r="T45" s="175"/>
      <c r="U45" s="171"/>
      <c r="V45" s="171"/>
      <c r="W45" s="175"/>
      <c r="X45" s="175"/>
      <c r="Y45" s="175"/>
      <c r="Z45" s="175"/>
      <c r="AA45" s="175"/>
      <c r="AB45" s="171"/>
      <c r="AC45" s="171"/>
      <c r="AD45" s="175"/>
      <c r="AE45" s="175"/>
      <c r="AF45" s="175"/>
      <c r="AG45" s="175">
        <v>416002400</v>
      </c>
      <c r="AH45" s="274"/>
      <c r="AI45" s="165"/>
      <c r="AJ45" s="234">
        <f>SUM(AI42:AI45)</f>
        <v>0</v>
      </c>
      <c r="AK45" s="184"/>
      <c r="AL45" s="185"/>
    </row>
    <row r="46" spans="1:38">
      <c r="A46" s="166" t="s">
        <v>24</v>
      </c>
      <c r="B46" s="191"/>
      <c r="C46" s="171"/>
      <c r="D46" s="171"/>
      <c r="E46" s="171"/>
      <c r="F46" s="171"/>
      <c r="G46" s="170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0"/>
      <c r="V46" s="170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65"/>
      <c r="AJ46" s="235"/>
      <c r="AK46" s="189"/>
    </row>
    <row r="47" spans="1:38">
      <c r="A47" s="166" t="s">
        <v>529</v>
      </c>
      <c r="B47" s="191"/>
      <c r="C47" s="175"/>
      <c r="D47" s="175"/>
      <c r="E47" s="175"/>
      <c r="F47" s="175"/>
      <c r="G47" s="171"/>
      <c r="H47" s="171"/>
      <c r="I47" s="175"/>
      <c r="J47" s="175"/>
      <c r="K47" s="175"/>
      <c r="L47" s="175"/>
      <c r="M47" s="175"/>
      <c r="N47" s="171"/>
      <c r="O47" s="171"/>
      <c r="P47" s="175"/>
      <c r="Q47" s="175"/>
      <c r="R47" s="175"/>
      <c r="S47" s="175"/>
      <c r="T47" s="175"/>
      <c r="U47" s="171"/>
      <c r="V47" s="171"/>
      <c r="W47" s="175"/>
      <c r="X47" s="175"/>
      <c r="Y47" s="175"/>
      <c r="Z47" s="175"/>
      <c r="AA47" s="175"/>
      <c r="AB47" s="171"/>
      <c r="AC47" s="171"/>
      <c r="AD47" s="175"/>
      <c r="AE47" s="175"/>
      <c r="AF47" s="175"/>
      <c r="AG47" s="175"/>
      <c r="AH47" s="171"/>
      <c r="AI47" s="165"/>
      <c r="AJ47" s="234"/>
      <c r="AK47" s="189"/>
    </row>
    <row r="48" spans="1:38">
      <c r="A48" s="166" t="s">
        <v>574</v>
      </c>
      <c r="B48" s="191"/>
      <c r="C48" s="175"/>
      <c r="D48" s="175"/>
      <c r="E48" s="175"/>
      <c r="F48" s="172">
        <v>332187701</v>
      </c>
      <c r="G48" s="171"/>
      <c r="H48" s="171"/>
      <c r="I48" s="175"/>
      <c r="J48" s="175"/>
      <c r="K48" s="175"/>
      <c r="L48" s="175"/>
      <c r="M48" s="175"/>
      <c r="N48" s="171"/>
      <c r="O48" s="171"/>
      <c r="P48" s="175"/>
      <c r="Q48" s="175"/>
      <c r="R48" s="175"/>
      <c r="S48" s="175"/>
      <c r="T48" s="175"/>
      <c r="U48" s="171"/>
      <c r="V48" s="171"/>
      <c r="W48" s="175"/>
      <c r="X48" s="175"/>
      <c r="Y48" s="175"/>
      <c r="Z48" s="175"/>
      <c r="AA48" s="175"/>
      <c r="AB48" s="171"/>
      <c r="AC48" s="171"/>
      <c r="AD48" s="175"/>
      <c r="AE48" s="175"/>
      <c r="AF48" s="175"/>
      <c r="AG48" s="175"/>
      <c r="AH48" s="171"/>
      <c r="AI48" s="165"/>
      <c r="AJ48" s="234"/>
      <c r="AK48" s="189"/>
    </row>
    <row r="49" spans="1:37">
      <c r="A49" s="166" t="s">
        <v>575</v>
      </c>
      <c r="B49" s="191"/>
      <c r="C49" s="175"/>
      <c r="D49" s="175"/>
      <c r="E49" s="175"/>
      <c r="F49" s="172">
        <v>84074919</v>
      </c>
      <c r="G49" s="171"/>
      <c r="H49" s="171"/>
      <c r="I49" s="175"/>
      <c r="J49" s="175"/>
      <c r="K49" s="175"/>
      <c r="L49" s="175"/>
      <c r="M49" s="175"/>
      <c r="N49" s="171"/>
      <c r="O49" s="171"/>
      <c r="P49" s="175"/>
      <c r="Q49" s="175"/>
      <c r="R49" s="175"/>
      <c r="S49" s="175"/>
      <c r="T49" s="175"/>
      <c r="U49" s="171"/>
      <c r="V49" s="171"/>
      <c r="W49" s="175"/>
      <c r="X49" s="175"/>
      <c r="Y49" s="175"/>
      <c r="Z49" s="175"/>
      <c r="AA49" s="175"/>
      <c r="AB49" s="171"/>
      <c r="AC49" s="171"/>
      <c r="AD49" s="175"/>
      <c r="AE49" s="175"/>
      <c r="AF49" s="175"/>
      <c r="AG49" s="175"/>
      <c r="AH49" s="171"/>
      <c r="AI49" s="165"/>
      <c r="AJ49" s="234"/>
      <c r="AK49" s="189"/>
    </row>
    <row r="50" spans="1:37">
      <c r="A50" s="166" t="s">
        <v>493</v>
      </c>
      <c r="B50" s="19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65"/>
      <c r="AJ50" s="234"/>
      <c r="AK50" s="189"/>
    </row>
    <row r="51" spans="1:37">
      <c r="A51" s="166" t="s">
        <v>333</v>
      </c>
      <c r="B51" s="191"/>
      <c r="C51" s="167"/>
      <c r="D51" s="167"/>
      <c r="E51" s="167"/>
      <c r="F51" s="167"/>
      <c r="G51" s="273"/>
      <c r="H51" s="171"/>
      <c r="I51" s="167"/>
      <c r="J51" s="167"/>
      <c r="K51" s="167"/>
      <c r="L51" s="167"/>
      <c r="M51" s="167"/>
      <c r="N51" s="273"/>
      <c r="O51" s="273"/>
      <c r="P51" s="167">
        <v>61003007</v>
      </c>
      <c r="Q51" s="167"/>
      <c r="R51" s="167"/>
      <c r="S51" s="167"/>
      <c r="T51" s="167"/>
      <c r="U51" s="167"/>
      <c r="V51" s="273"/>
      <c r="W51" s="167"/>
      <c r="X51" s="167"/>
      <c r="Y51" s="167"/>
      <c r="Z51" s="167"/>
      <c r="AA51" s="167"/>
      <c r="AB51" s="273"/>
      <c r="AC51" s="273"/>
      <c r="AD51" s="167"/>
      <c r="AE51" s="167"/>
      <c r="AF51" s="167"/>
      <c r="AG51" s="167">
        <v>61003007</v>
      </c>
      <c r="AH51" s="275"/>
      <c r="AI51" s="165"/>
      <c r="AJ51" s="233"/>
    </row>
    <row r="52" spans="1:37">
      <c r="A52" s="166" t="s">
        <v>539</v>
      </c>
      <c r="B52" s="191"/>
      <c r="C52" s="167"/>
      <c r="D52" s="167"/>
      <c r="E52" s="167"/>
      <c r="F52" s="167"/>
      <c r="G52" s="273"/>
      <c r="H52" s="171"/>
      <c r="I52" s="167"/>
      <c r="J52" s="167"/>
      <c r="K52" s="167"/>
      <c r="L52" s="167"/>
      <c r="M52" s="167"/>
      <c r="N52" s="273"/>
      <c r="O52" s="273"/>
      <c r="P52" s="167">
        <f>127319117+12869993+149745116</f>
        <v>289934226</v>
      </c>
      <c r="Q52" s="167"/>
      <c r="R52" s="167"/>
      <c r="S52" s="167"/>
      <c r="T52" s="167"/>
      <c r="U52" s="167"/>
      <c r="V52" s="273"/>
      <c r="W52" s="167"/>
      <c r="X52" s="167"/>
      <c r="Y52" s="167"/>
      <c r="Z52" s="167"/>
      <c r="AA52" s="167"/>
      <c r="AB52" s="273"/>
      <c r="AC52" s="273"/>
      <c r="AD52" s="167"/>
      <c r="AE52" s="167"/>
      <c r="AF52" s="167"/>
      <c r="AG52" s="167">
        <f>127319117+12869993+149745116</f>
        <v>289934226</v>
      </c>
      <c r="AH52" s="275"/>
      <c r="AI52" s="165"/>
      <c r="AJ52" s="233"/>
    </row>
    <row r="53" spans="1:37">
      <c r="A53" s="166" t="s">
        <v>336</v>
      </c>
      <c r="B53" s="191"/>
      <c r="C53" s="167"/>
      <c r="D53" s="167"/>
      <c r="E53" s="167"/>
      <c r="F53" s="167"/>
      <c r="G53" s="273"/>
      <c r="H53" s="171"/>
      <c r="I53" s="167"/>
      <c r="J53" s="167"/>
      <c r="K53" s="167"/>
      <c r="L53" s="167"/>
      <c r="M53" s="167"/>
      <c r="N53" s="273"/>
      <c r="O53" s="273"/>
      <c r="P53" s="167">
        <v>30744983</v>
      </c>
      <c r="Q53" s="167"/>
      <c r="R53" s="167"/>
      <c r="S53" s="167"/>
      <c r="T53" s="167"/>
      <c r="U53" s="167"/>
      <c r="V53" s="273"/>
      <c r="W53" s="167"/>
      <c r="X53" s="167"/>
      <c r="Y53" s="167"/>
      <c r="Z53" s="167"/>
      <c r="AA53" s="167"/>
      <c r="AB53" s="273"/>
      <c r="AC53" s="273"/>
      <c r="AD53" s="167"/>
      <c r="AE53" s="167"/>
      <c r="AF53" s="167"/>
      <c r="AG53" s="167">
        <v>30744983</v>
      </c>
      <c r="AH53" s="275"/>
      <c r="AI53" s="165"/>
      <c r="AJ53" s="233">
        <f>SUM(AI51:AI53)</f>
        <v>0</v>
      </c>
    </row>
    <row r="54" spans="1:37">
      <c r="A54" s="166" t="s">
        <v>337</v>
      </c>
      <c r="B54" s="191"/>
      <c r="C54" s="273"/>
      <c r="D54" s="273"/>
      <c r="E54" s="273"/>
      <c r="F54" s="273">
        <f>98431200-2460780</f>
        <v>95970420</v>
      </c>
      <c r="G54" s="273"/>
      <c r="H54" s="171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273"/>
      <c r="W54" s="273">
        <v>74643660</v>
      </c>
      <c r="X54" s="168"/>
      <c r="Y54" s="168"/>
      <c r="Z54" s="183"/>
      <c r="AA54" s="183"/>
      <c r="AB54" s="273"/>
      <c r="AC54" s="273"/>
      <c r="AD54" s="168">
        <v>32810400</v>
      </c>
      <c r="AE54" s="273"/>
      <c r="AF54" s="273"/>
      <c r="AG54" s="273"/>
      <c r="AH54" s="273"/>
      <c r="AI54" s="165"/>
      <c r="AJ54" s="233"/>
    </row>
    <row r="55" spans="1:37">
      <c r="A55" s="166" t="s">
        <v>614</v>
      </c>
      <c r="B55" s="191"/>
      <c r="C55" s="273"/>
      <c r="D55" s="273"/>
      <c r="E55" s="273"/>
      <c r="F55" s="273"/>
      <c r="G55" s="273"/>
      <c r="H55" s="171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168"/>
      <c r="Y55" s="168"/>
      <c r="Z55" s="183"/>
      <c r="AA55" s="168">
        <f>267951600-6698790</f>
        <v>261252810</v>
      </c>
      <c r="AB55" s="273"/>
      <c r="AC55" s="273"/>
      <c r="AD55" s="273"/>
      <c r="AE55" s="273"/>
      <c r="AF55" s="273"/>
      <c r="AG55" s="273"/>
      <c r="AH55" s="273"/>
      <c r="AI55" s="165"/>
      <c r="AJ55" s="233"/>
    </row>
    <row r="56" spans="1:37">
      <c r="A56" s="166" t="s">
        <v>27</v>
      </c>
      <c r="B56" s="191"/>
      <c r="C56" s="273"/>
      <c r="D56" s="273"/>
      <c r="E56" s="273"/>
      <c r="F56" s="273"/>
      <c r="G56" s="171"/>
      <c r="H56" s="171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3"/>
      <c r="W56" s="273">
        <v>182180000</v>
      </c>
      <c r="X56" s="273"/>
      <c r="Y56" s="273"/>
      <c r="Z56" s="273"/>
      <c r="AA56" s="273"/>
      <c r="AB56" s="273"/>
      <c r="AC56" s="273"/>
      <c r="AD56" s="273"/>
      <c r="AE56" s="273"/>
      <c r="AF56" s="273"/>
      <c r="AG56" s="273"/>
      <c r="AH56" s="273"/>
      <c r="AI56" s="165"/>
      <c r="AJ56" s="233"/>
    </row>
    <row r="57" spans="1:37">
      <c r="A57" s="187" t="s">
        <v>422</v>
      </c>
      <c r="B57" s="191"/>
      <c r="C57" s="273"/>
      <c r="D57" s="273"/>
      <c r="E57" s="273"/>
      <c r="F57" s="273"/>
      <c r="G57" s="273"/>
      <c r="H57" s="171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165"/>
      <c r="AJ57" s="233"/>
    </row>
    <row r="58" spans="1:37">
      <c r="A58" s="187" t="s">
        <v>423</v>
      </c>
      <c r="B58" s="191"/>
      <c r="C58" s="273"/>
      <c r="D58" s="273"/>
      <c r="E58" s="273"/>
      <c r="F58" s="273"/>
      <c r="G58" s="273"/>
      <c r="H58" s="171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  <c r="AG58" s="273"/>
      <c r="AH58" s="273"/>
      <c r="AI58" s="165"/>
      <c r="AJ58" s="233"/>
    </row>
    <row r="59" spans="1:37">
      <c r="A59" s="187" t="s">
        <v>424</v>
      </c>
      <c r="B59" s="191"/>
      <c r="C59" s="273"/>
      <c r="D59" s="273"/>
      <c r="E59" s="273"/>
      <c r="F59" s="273"/>
      <c r="G59" s="273"/>
      <c r="H59" s="171"/>
      <c r="I59" s="273"/>
      <c r="J59" s="273"/>
      <c r="K59" s="273"/>
      <c r="L59" s="171"/>
      <c r="M59" s="171"/>
      <c r="N59" s="273"/>
      <c r="O59" s="273"/>
      <c r="P59" s="273"/>
      <c r="Q59" s="273"/>
      <c r="R59" s="273"/>
      <c r="S59" s="273"/>
      <c r="T59" s="273"/>
      <c r="U59" s="273"/>
      <c r="V59" s="273"/>
      <c r="W59" s="273"/>
      <c r="X59" s="273"/>
      <c r="Y59" s="273"/>
      <c r="Z59" s="273"/>
      <c r="AA59" s="273"/>
      <c r="AB59" s="273"/>
      <c r="AC59" s="273"/>
      <c r="AD59" s="273"/>
      <c r="AE59" s="273"/>
      <c r="AF59" s="273"/>
      <c r="AG59" s="273"/>
      <c r="AH59" s="273"/>
      <c r="AI59" s="165"/>
      <c r="AJ59" s="233"/>
    </row>
    <row r="60" spans="1:37">
      <c r="A60" s="166" t="s">
        <v>30</v>
      </c>
      <c r="B60" s="191"/>
      <c r="C60" s="273"/>
      <c r="D60" s="170"/>
      <c r="E60" s="273"/>
      <c r="F60" s="273"/>
      <c r="G60" s="170"/>
      <c r="H60" s="171"/>
      <c r="I60" s="171"/>
      <c r="J60" s="170"/>
      <c r="K60" s="171"/>
      <c r="L60" s="171"/>
      <c r="M60" s="171"/>
      <c r="N60" s="170"/>
      <c r="O60" s="170"/>
      <c r="P60" s="170"/>
      <c r="Q60" s="170"/>
      <c r="R60" s="170"/>
      <c r="S60" s="170"/>
      <c r="T60" s="170"/>
      <c r="U60" s="273"/>
      <c r="V60" s="273"/>
      <c r="W60" s="170"/>
      <c r="X60" s="171"/>
      <c r="Y60" s="171"/>
      <c r="Z60" s="171"/>
      <c r="AA60" s="171"/>
      <c r="AB60" s="273"/>
      <c r="AC60" s="273"/>
      <c r="AD60" s="273"/>
      <c r="AE60" s="273"/>
      <c r="AF60" s="273"/>
      <c r="AG60" s="273"/>
      <c r="AH60" s="170"/>
      <c r="AI60" s="165"/>
      <c r="AJ60" s="170"/>
    </row>
    <row r="61" spans="1:37">
      <c r="A61" s="166" t="s">
        <v>347</v>
      </c>
      <c r="B61" s="191"/>
      <c r="C61" s="273"/>
      <c r="D61" s="170"/>
      <c r="E61" s="273"/>
      <c r="F61" s="273"/>
      <c r="G61" s="170"/>
      <c r="H61" s="171"/>
      <c r="I61" s="171"/>
      <c r="J61" s="170"/>
      <c r="K61" s="171"/>
      <c r="L61" s="171"/>
      <c r="M61" s="171"/>
      <c r="N61" s="170"/>
      <c r="O61" s="170"/>
      <c r="P61" s="170"/>
      <c r="Q61" s="170"/>
      <c r="R61" s="170"/>
      <c r="S61" s="170"/>
      <c r="T61" s="170"/>
      <c r="U61" s="273"/>
      <c r="V61" s="273"/>
      <c r="W61" s="171">
        <v>271376465</v>
      </c>
      <c r="X61" s="170"/>
      <c r="Y61" s="170"/>
      <c r="Z61" s="273"/>
      <c r="AA61" s="273"/>
      <c r="AB61" s="273"/>
      <c r="AC61" s="273"/>
      <c r="AD61" s="273"/>
      <c r="AE61" s="273"/>
      <c r="AF61" s="273"/>
      <c r="AG61" s="273"/>
      <c r="AH61" s="170"/>
      <c r="AI61" s="165"/>
      <c r="AJ61" s="170"/>
    </row>
    <row r="62" spans="1:37">
      <c r="A62" s="192" t="s">
        <v>476</v>
      </c>
      <c r="B62" s="191"/>
      <c r="C62" s="273"/>
      <c r="D62" s="273"/>
      <c r="E62" s="273"/>
      <c r="F62" s="273"/>
      <c r="G62" s="171"/>
      <c r="H62" s="171"/>
      <c r="I62" s="171"/>
      <c r="J62" s="273"/>
      <c r="K62" s="171"/>
      <c r="L62" s="171"/>
      <c r="M62" s="171"/>
      <c r="N62" s="273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273"/>
      <c r="AC62" s="273"/>
      <c r="AD62" s="273"/>
      <c r="AE62" s="273"/>
      <c r="AF62" s="273"/>
      <c r="AG62" s="273"/>
      <c r="AH62" s="273"/>
      <c r="AI62" s="165"/>
      <c r="AJ62" s="167"/>
    </row>
    <row r="63" spans="1:37">
      <c r="A63" s="192" t="s">
        <v>602</v>
      </c>
      <c r="B63" s="191"/>
      <c r="C63" s="273"/>
      <c r="D63" s="273"/>
      <c r="E63" s="273"/>
      <c r="F63" s="273"/>
      <c r="G63" s="273"/>
      <c r="H63" s="171"/>
      <c r="I63" s="171"/>
      <c r="J63" s="273"/>
      <c r="K63" s="171">
        <v>3780000</v>
      </c>
      <c r="L63" s="171"/>
      <c r="M63" s="171"/>
      <c r="N63" s="171"/>
      <c r="O63" s="171"/>
      <c r="P63" s="171"/>
      <c r="Q63" s="171"/>
      <c r="R63" s="175"/>
      <c r="S63" s="171"/>
      <c r="T63" s="175"/>
      <c r="U63" s="273"/>
      <c r="V63" s="273"/>
      <c r="W63" s="175"/>
      <c r="X63" s="175"/>
      <c r="Y63" s="175"/>
      <c r="Z63" s="175"/>
      <c r="AA63" s="175"/>
      <c r="AB63" s="273"/>
      <c r="AC63" s="273"/>
      <c r="AD63" s="175"/>
      <c r="AE63" s="175"/>
      <c r="AF63" s="175"/>
      <c r="AG63" s="175">
        <v>500000000</v>
      </c>
      <c r="AH63" s="273"/>
      <c r="AI63" s="165"/>
      <c r="AJ63" s="167"/>
    </row>
    <row r="64" spans="1:37">
      <c r="A64" s="192" t="s">
        <v>213</v>
      </c>
      <c r="B64" s="191"/>
      <c r="C64" s="273"/>
      <c r="D64" s="273"/>
      <c r="E64" s="273"/>
      <c r="F64" s="273">
        <v>500000000</v>
      </c>
      <c r="G64" s="273"/>
      <c r="H64" s="171"/>
      <c r="I64" s="273"/>
      <c r="J64" s="273"/>
      <c r="K64" s="273"/>
      <c r="L64" s="171"/>
      <c r="M64" s="171">
        <v>750000000</v>
      </c>
      <c r="N64" s="273"/>
      <c r="O64" s="273"/>
      <c r="P64" s="273"/>
      <c r="Q64" s="273"/>
      <c r="R64" s="273"/>
      <c r="S64" s="273"/>
      <c r="T64" s="273"/>
      <c r="U64" s="171"/>
      <c r="V64" s="171"/>
      <c r="W64" s="273">
        <v>2000000000</v>
      </c>
      <c r="X64" s="273"/>
      <c r="Y64" s="273"/>
      <c r="Z64" s="273"/>
      <c r="AA64" s="273"/>
      <c r="AB64" s="273"/>
      <c r="AC64" s="273"/>
      <c r="AD64" s="273"/>
      <c r="AE64" s="273"/>
      <c r="AF64" s="273"/>
      <c r="AG64" s="273"/>
      <c r="AH64" s="273"/>
      <c r="AI64" s="165"/>
      <c r="AJ64" s="167"/>
    </row>
    <row r="65" spans="1:38">
      <c r="A65" s="192" t="s">
        <v>613</v>
      </c>
      <c r="B65" s="191"/>
      <c r="C65" s="273"/>
      <c r="D65" s="273"/>
      <c r="E65" s="273"/>
      <c r="F65" s="273"/>
      <c r="G65" s="273"/>
      <c r="H65" s="171"/>
      <c r="I65" s="273"/>
      <c r="J65" s="273"/>
      <c r="K65" s="273"/>
      <c r="L65" s="171"/>
      <c r="M65" s="171"/>
      <c r="N65" s="273"/>
      <c r="O65" s="273"/>
      <c r="P65" s="273"/>
      <c r="Q65" s="273"/>
      <c r="R65" s="273"/>
      <c r="S65" s="273"/>
      <c r="T65" s="273"/>
      <c r="U65" s="171"/>
      <c r="V65" s="171"/>
      <c r="W65" s="273"/>
      <c r="X65" s="273"/>
      <c r="Y65" s="273"/>
      <c r="Z65" s="273"/>
      <c r="AA65" s="273">
        <v>17918111</v>
      </c>
      <c r="AB65" s="273"/>
      <c r="AC65" s="273"/>
      <c r="AD65" s="273"/>
      <c r="AE65" s="273"/>
      <c r="AF65" s="273"/>
      <c r="AG65" s="273"/>
      <c r="AH65" s="273"/>
      <c r="AI65" s="165"/>
      <c r="AJ65" s="167"/>
    </row>
    <row r="66" spans="1:38">
      <c r="A66" s="192" t="s">
        <v>119</v>
      </c>
      <c r="B66" s="191"/>
      <c r="C66" s="175"/>
      <c r="D66" s="175"/>
      <c r="E66" s="175"/>
      <c r="F66" s="175"/>
      <c r="G66" s="171"/>
      <c r="H66" s="171"/>
      <c r="I66" s="175"/>
      <c r="J66" s="175"/>
      <c r="K66" s="175"/>
      <c r="L66" s="175"/>
      <c r="M66" s="175"/>
      <c r="N66" s="276"/>
      <c r="O66" s="276"/>
      <c r="P66" s="175">
        <v>5000000000</v>
      </c>
      <c r="Q66" s="175"/>
      <c r="R66" s="175"/>
      <c r="S66" s="175"/>
      <c r="T66" s="175"/>
      <c r="U66" s="175"/>
      <c r="V66" s="276"/>
      <c r="W66" s="175"/>
      <c r="X66" s="175"/>
      <c r="Y66" s="175"/>
      <c r="Z66" s="175"/>
      <c r="AA66" s="175"/>
      <c r="AB66" s="175"/>
      <c r="AC66" s="171"/>
      <c r="AD66" s="175"/>
      <c r="AE66" s="175"/>
      <c r="AF66" s="175"/>
      <c r="AG66" s="175">
        <f>5000000000</f>
        <v>5000000000</v>
      </c>
      <c r="AH66" s="171"/>
      <c r="AI66" s="165"/>
      <c r="AJ66" s="175"/>
    </row>
    <row r="67" spans="1:38">
      <c r="A67" s="195" t="s">
        <v>32</v>
      </c>
      <c r="B67" s="196"/>
      <c r="C67" s="197">
        <f t="shared" ref="C67:AI67" si="0">SUM(C7:C66)</f>
        <v>0</v>
      </c>
      <c r="D67" s="197">
        <f t="shared" si="0"/>
        <v>0</v>
      </c>
      <c r="E67" s="197">
        <f t="shared" si="0"/>
        <v>0</v>
      </c>
      <c r="F67" s="197">
        <f t="shared" si="0"/>
        <v>2018167684</v>
      </c>
      <c r="G67" s="197">
        <f t="shared" si="0"/>
        <v>0</v>
      </c>
      <c r="H67" s="197">
        <f t="shared" si="0"/>
        <v>0</v>
      </c>
      <c r="I67" s="197">
        <f t="shared" si="0"/>
        <v>277360204</v>
      </c>
      <c r="J67" s="197">
        <f t="shared" si="0"/>
        <v>0</v>
      </c>
      <c r="K67" s="197">
        <f t="shared" si="0"/>
        <v>237370511</v>
      </c>
      <c r="L67" s="197">
        <f t="shared" si="0"/>
        <v>19728786</v>
      </c>
      <c r="M67" s="197">
        <f t="shared" si="0"/>
        <v>1746582230</v>
      </c>
      <c r="N67" s="197">
        <f t="shared" si="0"/>
        <v>0</v>
      </c>
      <c r="O67" s="197">
        <f t="shared" si="0"/>
        <v>0</v>
      </c>
      <c r="P67" s="197">
        <f t="shared" si="0"/>
        <v>11216220234</v>
      </c>
      <c r="Q67" s="197">
        <f t="shared" si="0"/>
        <v>486305572</v>
      </c>
      <c r="R67" s="197">
        <f t="shared" si="0"/>
        <v>200942615</v>
      </c>
      <c r="S67" s="197">
        <f t="shared" si="0"/>
        <v>0</v>
      </c>
      <c r="T67" s="197">
        <f t="shared" si="0"/>
        <v>1773802206</v>
      </c>
      <c r="U67" s="197">
        <f t="shared" si="0"/>
        <v>0</v>
      </c>
      <c r="V67" s="197">
        <f t="shared" si="0"/>
        <v>0</v>
      </c>
      <c r="W67" s="197">
        <f t="shared" si="0"/>
        <v>2528200125</v>
      </c>
      <c r="X67" s="197">
        <f t="shared" si="0"/>
        <v>126201228</v>
      </c>
      <c r="Y67" s="197">
        <f t="shared" si="0"/>
        <v>2198997</v>
      </c>
      <c r="Z67" s="197">
        <f t="shared" si="0"/>
        <v>112243880</v>
      </c>
      <c r="AA67" s="197">
        <f t="shared" si="0"/>
        <v>646138823</v>
      </c>
      <c r="AB67" s="197">
        <f t="shared" si="0"/>
        <v>0</v>
      </c>
      <c r="AC67" s="197">
        <f t="shared" si="0"/>
        <v>0</v>
      </c>
      <c r="AD67" s="197">
        <f t="shared" si="0"/>
        <v>123650400</v>
      </c>
      <c r="AE67" s="197">
        <f t="shared" si="0"/>
        <v>159164504</v>
      </c>
      <c r="AF67" s="197">
        <f t="shared" si="0"/>
        <v>0</v>
      </c>
      <c r="AG67" s="197">
        <f t="shared" si="0"/>
        <v>9746455046</v>
      </c>
      <c r="AH67" s="197">
        <f t="shared" si="0"/>
        <v>0</v>
      </c>
      <c r="AI67" s="197">
        <f t="shared" si="0"/>
        <v>0</v>
      </c>
    </row>
    <row r="68" spans="1:38">
      <c r="A68" s="199"/>
      <c r="B68" s="162"/>
      <c r="C68" s="200"/>
      <c r="D68" s="200"/>
      <c r="E68" s="165"/>
      <c r="F68" s="165"/>
      <c r="G68" s="165"/>
      <c r="H68" s="165"/>
      <c r="I68" s="165"/>
      <c r="J68" s="200"/>
      <c r="K68" s="200"/>
      <c r="L68" s="165"/>
      <c r="M68" s="165"/>
      <c r="N68" s="165"/>
      <c r="O68" s="200"/>
      <c r="P68" s="165"/>
      <c r="Q68" s="165"/>
      <c r="R68" s="165"/>
      <c r="S68" s="165"/>
      <c r="T68" s="165"/>
      <c r="U68" s="165"/>
      <c r="V68" s="165"/>
      <c r="W68" s="190">
        <v>0</v>
      </c>
      <c r="X68" s="190">
        <v>0</v>
      </c>
      <c r="Y68" s="190">
        <v>0</v>
      </c>
      <c r="Z68" s="190">
        <v>0</v>
      </c>
      <c r="AA68" s="190">
        <v>0</v>
      </c>
      <c r="AB68" s="190">
        <v>0</v>
      </c>
      <c r="AC68" s="165"/>
      <c r="AD68" s="165"/>
      <c r="AE68" s="165"/>
      <c r="AF68" s="165"/>
      <c r="AG68" s="165"/>
      <c r="AH68" s="165"/>
      <c r="AI68" s="201"/>
      <c r="AJ68" s="154"/>
    </row>
    <row r="69" spans="1:38">
      <c r="A69" s="202" t="s">
        <v>33</v>
      </c>
      <c r="B69" s="162"/>
      <c r="C69" s="165"/>
      <c r="D69" s="200"/>
      <c r="E69" s="165"/>
      <c r="F69" s="165"/>
      <c r="G69" s="200"/>
      <c r="H69" s="165"/>
      <c r="I69" s="165"/>
      <c r="J69" s="200"/>
      <c r="K69" s="200"/>
      <c r="L69" s="165"/>
      <c r="M69" s="165"/>
      <c r="N69" s="165"/>
      <c r="O69" s="200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200"/>
      <c r="AB69" s="200"/>
      <c r="AC69" s="165"/>
      <c r="AD69" s="165"/>
      <c r="AE69" s="165"/>
      <c r="AF69" s="165"/>
      <c r="AG69" s="165"/>
      <c r="AH69" s="165"/>
      <c r="AI69" s="201">
        <f t="shared" ref="AI69:AI94" si="1">SUM(B69:AG69)</f>
        <v>0</v>
      </c>
      <c r="AJ69" s="154"/>
    </row>
    <row r="70" spans="1:38">
      <c r="A70" s="203" t="s">
        <v>34</v>
      </c>
      <c r="B70" s="204"/>
      <c r="C70" s="200"/>
      <c r="D70" s="200"/>
      <c r="E70" s="200"/>
      <c r="F70" s="200"/>
      <c r="G70" s="200"/>
      <c r="H70" s="204"/>
      <c r="I70" s="200"/>
      <c r="J70" s="200"/>
      <c r="K70" s="200"/>
      <c r="L70" s="200"/>
      <c r="M70" s="200"/>
      <c r="N70" s="200"/>
      <c r="O70" s="205"/>
      <c r="P70" s="200"/>
      <c r="Q70" s="200"/>
      <c r="R70" s="200"/>
      <c r="S70" s="200"/>
      <c r="T70" s="200"/>
      <c r="U70" s="207"/>
      <c r="V70" s="200"/>
      <c r="W70" s="204"/>
      <c r="X70" s="200"/>
      <c r="Y70" s="200"/>
      <c r="Z70" s="200"/>
      <c r="AA70" s="200"/>
      <c r="AB70" s="200"/>
      <c r="AC70" s="204"/>
      <c r="AD70" s="200"/>
      <c r="AE70" s="200"/>
      <c r="AF70" s="200"/>
      <c r="AG70" s="200"/>
      <c r="AH70" s="204"/>
      <c r="AI70" s="201">
        <f t="shared" si="1"/>
        <v>0</v>
      </c>
      <c r="AJ70" s="173"/>
    </row>
    <row r="71" spans="1:38">
      <c r="A71" s="203" t="s">
        <v>34</v>
      </c>
      <c r="B71" s="204"/>
      <c r="C71" s="200"/>
      <c r="D71" s="200"/>
      <c r="E71" s="200"/>
      <c r="F71" s="200"/>
      <c r="G71" s="200"/>
      <c r="H71" s="204"/>
      <c r="I71" s="200"/>
      <c r="J71" s="200"/>
      <c r="K71" s="200"/>
      <c r="L71" s="200"/>
      <c r="M71" s="200"/>
      <c r="N71" s="200"/>
      <c r="O71" s="205"/>
      <c r="P71" s="200"/>
      <c r="Q71" s="200"/>
      <c r="R71" s="200"/>
      <c r="S71" s="200"/>
      <c r="T71" s="200"/>
      <c r="U71" s="207"/>
      <c r="V71" s="200"/>
      <c r="W71" s="190"/>
      <c r="X71" s="200"/>
      <c r="Y71" s="164"/>
      <c r="Z71" s="200"/>
      <c r="AA71" s="200"/>
      <c r="AB71" s="200"/>
      <c r="AC71" s="204"/>
      <c r="AD71" s="200"/>
      <c r="AE71" s="200"/>
      <c r="AF71" s="200"/>
      <c r="AG71" s="200"/>
      <c r="AH71" s="204"/>
      <c r="AI71" s="201"/>
      <c r="AJ71" s="173"/>
    </row>
    <row r="72" spans="1:38">
      <c r="A72" s="203" t="s">
        <v>198</v>
      </c>
      <c r="B72" s="204"/>
      <c r="C72" s="200"/>
      <c r="D72" s="200"/>
      <c r="E72" s="205"/>
      <c r="F72" s="200"/>
      <c r="G72" s="200"/>
      <c r="H72" s="204"/>
      <c r="I72" s="200"/>
      <c r="J72" s="200"/>
      <c r="K72" s="200"/>
      <c r="L72" s="200"/>
      <c r="M72" s="200"/>
      <c r="N72" s="200"/>
      <c r="O72" s="205"/>
      <c r="P72" s="200"/>
      <c r="Q72" s="200"/>
      <c r="R72" s="200"/>
      <c r="S72" s="200"/>
      <c r="T72" s="200"/>
      <c r="U72" s="207"/>
      <c r="V72" s="200"/>
      <c r="W72" s="190"/>
      <c r="X72" s="200"/>
      <c r="Y72" s="164"/>
      <c r="Z72" s="200"/>
      <c r="AA72" s="200"/>
      <c r="AB72" s="200"/>
      <c r="AC72" s="200"/>
      <c r="AD72" s="164"/>
      <c r="AE72" s="204"/>
      <c r="AF72" s="200"/>
      <c r="AG72" s="200"/>
      <c r="AH72" s="204"/>
      <c r="AI72" s="201">
        <f t="shared" si="1"/>
        <v>0</v>
      </c>
      <c r="AJ72" s="173"/>
    </row>
    <row r="73" spans="1:38">
      <c r="A73" s="203" t="s">
        <v>227</v>
      </c>
      <c r="B73" s="204"/>
      <c r="C73" s="164"/>
      <c r="D73" s="164">
        <v>800215723</v>
      </c>
      <c r="E73" s="205"/>
      <c r="F73" s="200">
        <v>3262613192</v>
      </c>
      <c r="G73" s="200"/>
      <c r="H73" s="200"/>
      <c r="I73" s="200"/>
      <c r="J73" s="200"/>
      <c r="K73" s="200"/>
      <c r="L73" s="200">
        <v>1034901743</v>
      </c>
      <c r="M73" s="200">
        <v>2105737447</v>
      </c>
      <c r="N73" s="200"/>
      <c r="O73" s="205"/>
      <c r="P73" s="200"/>
      <c r="Q73" s="200"/>
      <c r="R73" s="200">
        <v>4927592872</v>
      </c>
      <c r="S73" s="200"/>
      <c r="T73" s="200">
        <v>3648788187</v>
      </c>
      <c r="U73" s="207"/>
      <c r="V73" s="200"/>
      <c r="W73" s="190"/>
      <c r="X73" s="164"/>
      <c r="Y73" s="190"/>
      <c r="Z73" s="200"/>
      <c r="AA73" s="164"/>
      <c r="AB73" s="200"/>
      <c r="AC73" s="200"/>
      <c r="AD73" s="164"/>
      <c r="AE73" s="207"/>
      <c r="AF73" s="200"/>
      <c r="AG73" s="200"/>
      <c r="AH73" s="204"/>
      <c r="AI73" s="201">
        <f t="shared" si="1"/>
        <v>15779849164</v>
      </c>
      <c r="AJ73" s="173"/>
    </row>
    <row r="74" spans="1:38">
      <c r="A74" s="203" t="s">
        <v>227</v>
      </c>
      <c r="B74" s="204"/>
      <c r="C74" s="204"/>
      <c r="D74" s="200"/>
      <c r="E74" s="205"/>
      <c r="F74" s="200"/>
      <c r="G74" s="200"/>
      <c r="H74" s="200"/>
      <c r="I74" s="200"/>
      <c r="J74" s="200"/>
      <c r="K74" s="200"/>
      <c r="L74" s="200"/>
      <c r="M74" s="200"/>
      <c r="N74" s="200"/>
      <c r="O74" s="205"/>
      <c r="P74" s="200"/>
      <c r="Q74" s="200"/>
      <c r="R74" s="200">
        <v>2868579748</v>
      </c>
      <c r="S74" s="200"/>
      <c r="T74" s="200">
        <v>1511997635</v>
      </c>
      <c r="U74" s="207"/>
      <c r="V74" s="204"/>
      <c r="W74" s="164"/>
      <c r="X74" s="164"/>
      <c r="Y74" s="164"/>
      <c r="Z74" s="200"/>
      <c r="AA74" s="200"/>
      <c r="AB74" s="200"/>
      <c r="AC74" s="200"/>
      <c r="AD74" s="190"/>
      <c r="AE74" s="204"/>
      <c r="AF74" s="200"/>
      <c r="AG74" s="200"/>
      <c r="AH74" s="204"/>
      <c r="AI74" s="201">
        <f t="shared" si="1"/>
        <v>4380577383</v>
      </c>
      <c r="AJ74" s="173"/>
    </row>
    <row r="75" spans="1:38">
      <c r="A75" s="203" t="s">
        <v>227</v>
      </c>
      <c r="B75" s="204"/>
      <c r="C75" s="204"/>
      <c r="D75" s="200"/>
      <c r="E75" s="205"/>
      <c r="F75" s="200"/>
      <c r="G75" s="200"/>
      <c r="H75" s="200"/>
      <c r="I75" s="200"/>
      <c r="J75" s="200"/>
      <c r="K75" s="200"/>
      <c r="L75" s="200"/>
      <c r="M75" s="200"/>
      <c r="N75" s="200"/>
      <c r="O75" s="205"/>
      <c r="P75" s="200"/>
      <c r="Q75" s="200"/>
      <c r="R75" s="200"/>
      <c r="S75" s="200"/>
      <c r="T75" s="200"/>
      <c r="U75" s="207"/>
      <c r="V75" s="204"/>
      <c r="W75" s="164"/>
      <c r="X75" s="164"/>
      <c r="Y75" s="164"/>
      <c r="Z75" s="200"/>
      <c r="AA75" s="200"/>
      <c r="AB75" s="200"/>
      <c r="AC75" s="200"/>
      <c r="AD75" s="190"/>
      <c r="AE75" s="277"/>
      <c r="AF75" s="200"/>
      <c r="AG75" s="200"/>
      <c r="AH75" s="204"/>
      <c r="AI75" s="201">
        <f t="shared" si="1"/>
        <v>0</v>
      </c>
      <c r="AJ75" s="173"/>
    </row>
    <row r="76" spans="1:38">
      <c r="A76" s="203" t="s">
        <v>227</v>
      </c>
      <c r="B76" s="204"/>
      <c r="C76" s="204"/>
      <c r="D76" s="200"/>
      <c r="E76" s="205"/>
      <c r="F76" s="200"/>
      <c r="G76" s="200"/>
      <c r="H76" s="200"/>
      <c r="I76" s="200"/>
      <c r="J76" s="200"/>
      <c r="K76" s="200"/>
      <c r="L76" s="200"/>
      <c r="M76" s="200"/>
      <c r="N76" s="200"/>
      <c r="O76" s="205"/>
      <c r="P76" s="200"/>
      <c r="Q76" s="200"/>
      <c r="R76" s="200"/>
      <c r="S76" s="200"/>
      <c r="T76" s="200"/>
      <c r="U76" s="207"/>
      <c r="V76" s="204"/>
      <c r="W76" s="164"/>
      <c r="X76" s="164"/>
      <c r="Y76" s="164"/>
      <c r="Z76" s="200"/>
      <c r="AA76" s="200"/>
      <c r="AB76" s="200"/>
      <c r="AC76" s="200"/>
      <c r="AD76" s="190"/>
      <c r="AE76" s="277"/>
      <c r="AF76" s="200"/>
      <c r="AG76" s="200"/>
      <c r="AH76" s="204"/>
      <c r="AI76" s="201">
        <f t="shared" si="1"/>
        <v>0</v>
      </c>
      <c r="AJ76" s="173"/>
    </row>
    <row r="77" spans="1:38">
      <c r="A77" s="203" t="s">
        <v>199</v>
      </c>
      <c r="B77" s="204"/>
      <c r="C77" s="180"/>
      <c r="D77" s="164"/>
      <c r="E77" s="205"/>
      <c r="F77" s="200"/>
      <c r="G77" s="200"/>
      <c r="H77" s="164"/>
      <c r="I77" s="200"/>
      <c r="J77" s="164"/>
      <c r="K77" s="164"/>
      <c r="L77" s="200">
        <v>5893190</v>
      </c>
      <c r="M77" s="200">
        <v>11511365</v>
      </c>
      <c r="N77" s="200"/>
      <c r="O77" s="205"/>
      <c r="P77" s="200"/>
      <c r="Q77" s="176"/>
      <c r="R77" s="200">
        <v>45577000</v>
      </c>
      <c r="S77" s="200"/>
      <c r="T77" s="205">
        <v>29879123</v>
      </c>
      <c r="U77" s="207"/>
      <c r="V77" s="200"/>
      <c r="W77" s="164"/>
      <c r="X77" s="164"/>
      <c r="Y77" s="164"/>
      <c r="Z77" s="200"/>
      <c r="AA77" s="200"/>
      <c r="AB77" s="164"/>
      <c r="AC77" s="200"/>
      <c r="AD77" s="172">
        <v>96343159</v>
      </c>
      <c r="AE77" s="207"/>
      <c r="AF77" s="205"/>
      <c r="AG77" s="200"/>
      <c r="AH77" s="204"/>
      <c r="AI77" s="201">
        <f t="shared" si="1"/>
        <v>189203837</v>
      </c>
      <c r="AJ77" s="173"/>
      <c r="AL77" s="150" t="s">
        <v>253</v>
      </c>
    </row>
    <row r="78" spans="1:38">
      <c r="A78" s="203" t="s">
        <v>228</v>
      </c>
      <c r="B78" s="204"/>
      <c r="C78" s="204"/>
      <c r="D78" s="205"/>
      <c r="E78" s="205"/>
      <c r="F78" s="200"/>
      <c r="G78" s="200"/>
      <c r="H78" s="200"/>
      <c r="I78" s="200"/>
      <c r="J78" s="200"/>
      <c r="K78" s="200"/>
      <c r="L78" s="210"/>
      <c r="M78" s="200"/>
      <c r="N78" s="200"/>
      <c r="O78" s="205"/>
      <c r="P78" s="205"/>
      <c r="Q78" s="200"/>
      <c r="R78" s="200"/>
      <c r="S78" s="200"/>
      <c r="T78" s="205"/>
      <c r="U78" s="209"/>
      <c r="V78" s="204"/>
      <c r="W78" s="164"/>
      <c r="X78" s="164"/>
      <c r="Y78" s="164"/>
      <c r="Z78" s="200"/>
      <c r="AA78" s="200"/>
      <c r="AB78" s="200"/>
      <c r="AC78" s="200"/>
      <c r="AD78" s="190"/>
      <c r="AE78" s="200"/>
      <c r="AF78" s="205"/>
      <c r="AG78" s="200"/>
      <c r="AH78" s="204"/>
      <c r="AI78" s="201">
        <f t="shared" si="1"/>
        <v>0</v>
      </c>
      <c r="AJ78" s="173"/>
    </row>
    <row r="79" spans="1:38">
      <c r="A79" s="203" t="s">
        <v>200</v>
      </c>
      <c r="B79" s="204"/>
      <c r="C79" s="204"/>
      <c r="D79" s="205"/>
      <c r="E79" s="205"/>
      <c r="F79" s="200"/>
      <c r="G79" s="200"/>
      <c r="H79" s="200"/>
      <c r="I79" s="200"/>
      <c r="J79" s="200"/>
      <c r="K79" s="200"/>
      <c r="L79" s="210"/>
      <c r="M79" s="200"/>
      <c r="N79" s="200"/>
      <c r="O79" s="205"/>
      <c r="P79" s="205"/>
      <c r="Q79" s="200"/>
      <c r="R79" s="200"/>
      <c r="S79" s="200"/>
      <c r="T79" s="205"/>
      <c r="U79" s="205"/>
      <c r="V79" s="204"/>
      <c r="W79" s="164"/>
      <c r="X79" s="164"/>
      <c r="Y79" s="164"/>
      <c r="Z79" s="200"/>
      <c r="AA79" s="200"/>
      <c r="AB79" s="200"/>
      <c r="AC79" s="200"/>
      <c r="AD79" s="190"/>
      <c r="AE79" s="200"/>
      <c r="AF79" s="205"/>
      <c r="AG79" s="200"/>
      <c r="AH79" s="204"/>
      <c r="AI79" s="201">
        <f t="shared" si="1"/>
        <v>0</v>
      </c>
      <c r="AJ79" s="173"/>
    </row>
    <row r="80" spans="1:38">
      <c r="A80" s="203" t="s">
        <v>36</v>
      </c>
      <c r="B80" s="204"/>
      <c r="C80" s="204"/>
      <c r="D80" s="205"/>
      <c r="E80" s="205">
        <v>2810162708</v>
      </c>
      <c r="F80" s="200">
        <v>4082128304</v>
      </c>
      <c r="G80" s="200"/>
      <c r="H80" s="204"/>
      <c r="I80" s="200"/>
      <c r="J80" s="200"/>
      <c r="K80" s="200"/>
      <c r="L80" s="210">
        <v>4129058445</v>
      </c>
      <c r="M80" s="200">
        <v>1683003765</v>
      </c>
      <c r="N80" s="200"/>
      <c r="O80" s="205"/>
      <c r="P80" s="205"/>
      <c r="Q80" s="200"/>
      <c r="R80" s="200"/>
      <c r="S80" s="200"/>
      <c r="T80" s="205"/>
      <c r="U80" s="205"/>
      <c r="V80" s="204"/>
      <c r="W80" s="190"/>
      <c r="X80" s="164"/>
      <c r="Y80" s="164">
        <v>970093996</v>
      </c>
      <c r="Z80" s="200"/>
      <c r="AA80" s="200"/>
      <c r="AB80" s="200"/>
      <c r="AC80" s="200"/>
      <c r="AD80" s="190"/>
      <c r="AE80" s="200"/>
      <c r="AF80" s="205"/>
      <c r="AG80" s="200"/>
      <c r="AH80" s="204"/>
      <c r="AI80" s="201">
        <f t="shared" si="1"/>
        <v>13674447218</v>
      </c>
      <c r="AJ80" s="173"/>
    </row>
    <row r="81" spans="1:36">
      <c r="A81" s="203" t="s">
        <v>36</v>
      </c>
      <c r="B81" s="204"/>
      <c r="C81" s="204"/>
      <c r="D81" s="205"/>
      <c r="E81" s="205"/>
      <c r="F81" s="200">
        <v>2153852671</v>
      </c>
      <c r="G81" s="200"/>
      <c r="H81" s="204"/>
      <c r="I81" s="200"/>
      <c r="J81" s="200"/>
      <c r="K81" s="200"/>
      <c r="L81" s="210">
        <v>2729643584</v>
      </c>
      <c r="M81" s="200"/>
      <c r="N81" s="200"/>
      <c r="O81" s="205"/>
      <c r="P81" s="205"/>
      <c r="Q81" s="200"/>
      <c r="R81" s="200"/>
      <c r="S81" s="200"/>
      <c r="T81" s="205"/>
      <c r="U81" s="205"/>
      <c r="V81" s="204"/>
      <c r="W81" s="164"/>
      <c r="X81" s="164"/>
      <c r="Y81" s="164"/>
      <c r="Z81" s="200"/>
      <c r="AA81" s="200"/>
      <c r="AB81" s="200"/>
      <c r="AC81" s="200"/>
      <c r="AD81" s="190"/>
      <c r="AE81" s="200"/>
      <c r="AF81" s="205"/>
      <c r="AG81" s="200"/>
      <c r="AH81" s="204"/>
      <c r="AI81" s="201"/>
      <c r="AJ81" s="173"/>
    </row>
    <row r="82" spans="1:36">
      <c r="A82" s="203" t="s">
        <v>36</v>
      </c>
      <c r="B82" s="204"/>
      <c r="C82" s="204"/>
      <c r="D82" s="205"/>
      <c r="E82" s="205"/>
      <c r="F82" s="200"/>
      <c r="G82" s="200"/>
      <c r="H82" s="204"/>
      <c r="I82" s="200"/>
      <c r="J82" s="200"/>
      <c r="K82" s="200"/>
      <c r="L82" s="210"/>
      <c r="M82" s="200"/>
      <c r="N82" s="200"/>
      <c r="O82" s="205"/>
      <c r="P82" s="205"/>
      <c r="Q82" s="200"/>
      <c r="R82" s="200"/>
      <c r="S82" s="200"/>
      <c r="T82" s="205"/>
      <c r="U82" s="205"/>
      <c r="V82" s="204"/>
      <c r="W82" s="164"/>
      <c r="X82" s="164"/>
      <c r="Y82" s="164"/>
      <c r="Z82" s="200"/>
      <c r="AA82" s="200"/>
      <c r="AB82" s="200"/>
      <c r="AC82" s="200"/>
      <c r="AD82" s="190"/>
      <c r="AE82" s="200"/>
      <c r="AF82" s="205"/>
      <c r="AG82" s="200"/>
      <c r="AH82" s="204"/>
      <c r="AI82" s="201"/>
      <c r="AJ82" s="173"/>
    </row>
    <row r="83" spans="1:36">
      <c r="A83" s="203" t="s">
        <v>242</v>
      </c>
      <c r="B83" s="204"/>
      <c r="C83" s="204"/>
      <c r="D83" s="205"/>
      <c r="E83" s="205">
        <v>15924255</v>
      </c>
      <c r="F83" s="200"/>
      <c r="G83" s="200"/>
      <c r="H83" s="204"/>
      <c r="I83" s="200"/>
      <c r="J83" s="200"/>
      <c r="K83" s="200"/>
      <c r="L83" s="210">
        <v>40485394</v>
      </c>
      <c r="M83" s="200">
        <v>9537021</v>
      </c>
      <c r="N83" s="200"/>
      <c r="O83" s="205"/>
      <c r="P83" s="205"/>
      <c r="Q83" s="200"/>
      <c r="R83" s="200"/>
      <c r="S83" s="200"/>
      <c r="T83" s="205"/>
      <c r="U83" s="205"/>
      <c r="V83" s="204"/>
      <c r="W83" s="164"/>
      <c r="X83" s="164"/>
      <c r="Y83" s="164">
        <v>4363834</v>
      </c>
      <c r="Z83" s="200"/>
      <c r="AA83" s="200"/>
      <c r="AB83" s="200"/>
      <c r="AC83" s="204"/>
      <c r="AD83" s="190"/>
      <c r="AE83" s="200"/>
      <c r="AF83" s="205"/>
      <c r="AG83" s="200"/>
      <c r="AH83" s="204"/>
      <c r="AI83" s="201">
        <f t="shared" si="1"/>
        <v>70310504</v>
      </c>
      <c r="AJ83" s="173"/>
    </row>
    <row r="84" spans="1:36">
      <c r="A84" s="162" t="s">
        <v>53</v>
      </c>
      <c r="B84" s="204"/>
      <c r="C84" s="200"/>
      <c r="D84" s="180"/>
      <c r="E84" s="205"/>
      <c r="F84" s="200"/>
      <c r="G84" s="200"/>
      <c r="H84" s="200"/>
      <c r="I84" s="200"/>
      <c r="J84" s="200"/>
      <c r="K84" s="200"/>
      <c r="L84" s="210"/>
      <c r="M84" s="200"/>
      <c r="N84" s="180"/>
      <c r="O84" s="180"/>
      <c r="P84" s="180"/>
      <c r="Q84" s="200"/>
      <c r="R84" s="200"/>
      <c r="T84" s="205"/>
      <c r="U84" s="176"/>
      <c r="V84" s="169"/>
      <c r="W84" s="164"/>
      <c r="X84" s="171"/>
      <c r="Y84" s="171"/>
      <c r="Z84" s="200"/>
      <c r="AA84" s="200"/>
      <c r="AB84" s="164"/>
      <c r="AC84" s="200"/>
      <c r="AD84" s="164"/>
      <c r="AE84" s="200"/>
      <c r="AF84" s="205"/>
      <c r="AG84" s="200"/>
      <c r="AH84" s="200"/>
      <c r="AI84" s="201">
        <f t="shared" si="1"/>
        <v>0</v>
      </c>
      <c r="AJ84" s="173"/>
    </row>
    <row r="85" spans="1:36">
      <c r="A85" s="162" t="s">
        <v>54</v>
      </c>
      <c r="B85" s="204"/>
      <c r="C85" s="200"/>
      <c r="D85" s="205"/>
      <c r="E85" s="180"/>
      <c r="F85" s="200"/>
      <c r="G85" s="200"/>
      <c r="H85" s="200"/>
      <c r="I85" s="200"/>
      <c r="J85" s="200"/>
      <c r="K85" s="200"/>
      <c r="L85" s="267"/>
      <c r="M85" s="200"/>
      <c r="N85" s="200"/>
      <c r="O85" s="205"/>
      <c r="P85" s="180"/>
      <c r="Q85" s="200"/>
      <c r="R85" s="200"/>
      <c r="S85" s="200"/>
      <c r="T85" s="205"/>
      <c r="U85" s="205"/>
      <c r="V85" s="169"/>
      <c r="W85" s="172"/>
      <c r="X85" s="170"/>
      <c r="Y85" s="170"/>
      <c r="Z85" s="180"/>
      <c r="AA85" s="200"/>
      <c r="AB85" s="200"/>
      <c r="AC85" s="204"/>
      <c r="AD85" s="164"/>
      <c r="AE85" s="200"/>
      <c r="AF85" s="205"/>
      <c r="AG85" s="200"/>
      <c r="AH85" s="204"/>
      <c r="AI85" s="201">
        <f t="shared" si="1"/>
        <v>0</v>
      </c>
      <c r="AJ85" s="173">
        <v>1</v>
      </c>
    </row>
    <row r="86" spans="1:36">
      <c r="A86" s="162" t="s">
        <v>203</v>
      </c>
      <c r="B86" s="204"/>
      <c r="C86" s="200"/>
      <c r="D86" s="205"/>
      <c r="E86" s="180"/>
      <c r="F86" s="200"/>
      <c r="G86" s="200"/>
      <c r="H86" s="204"/>
      <c r="I86" s="205"/>
      <c r="J86" s="200"/>
      <c r="K86" s="200"/>
      <c r="L86" s="267"/>
      <c r="M86" s="200"/>
      <c r="N86" s="200"/>
      <c r="O86" s="205"/>
      <c r="P86" s="180"/>
      <c r="Q86" s="200"/>
      <c r="R86" s="200"/>
      <c r="S86" s="200"/>
      <c r="T86" s="205"/>
      <c r="U86" s="205"/>
      <c r="V86" s="176"/>
      <c r="W86" s="172"/>
      <c r="X86" s="170"/>
      <c r="Y86" s="170"/>
      <c r="Z86" s="180"/>
      <c r="AA86" s="200"/>
      <c r="AB86" s="200"/>
      <c r="AC86" s="204"/>
      <c r="AD86" s="164"/>
      <c r="AE86" s="205"/>
      <c r="AF86" s="205"/>
      <c r="AG86" s="200"/>
      <c r="AH86" s="204"/>
      <c r="AI86" s="201">
        <f t="shared" si="1"/>
        <v>0</v>
      </c>
      <c r="AJ86" s="173"/>
    </row>
    <row r="87" spans="1:36">
      <c r="A87" s="162" t="s">
        <v>37</v>
      </c>
      <c r="B87" s="204"/>
      <c r="C87" s="200"/>
      <c r="D87" s="200"/>
      <c r="E87" s="180"/>
      <c r="F87" s="164"/>
      <c r="G87" s="180"/>
      <c r="H87" s="200"/>
      <c r="I87" s="180"/>
      <c r="J87" s="200"/>
      <c r="K87" s="200">
        <v>197348688</v>
      </c>
      <c r="L87" s="267"/>
      <c r="M87" s="200"/>
      <c r="N87" s="200"/>
      <c r="O87" s="205"/>
      <c r="P87" s="176"/>
      <c r="Q87" s="200">
        <v>266778130</v>
      </c>
      <c r="R87" s="200"/>
      <c r="S87" s="200"/>
      <c r="T87" s="205"/>
      <c r="U87" s="176"/>
      <c r="V87" s="176"/>
      <c r="W87" s="164"/>
      <c r="X87" s="171"/>
      <c r="Y87" s="171"/>
      <c r="Z87" s="200"/>
      <c r="AA87" s="176"/>
      <c r="AB87" s="178"/>
      <c r="AC87" s="178"/>
      <c r="AD87" s="164">
        <v>378654058</v>
      </c>
      <c r="AE87" s="180">
        <v>1647094736</v>
      </c>
      <c r="AF87" s="178"/>
      <c r="AG87" s="200"/>
      <c r="AH87" s="200"/>
      <c r="AI87" s="201">
        <f t="shared" si="1"/>
        <v>2489875612</v>
      </c>
      <c r="AJ87" s="173"/>
    </row>
    <row r="88" spans="1:36">
      <c r="A88" s="162" t="s">
        <v>38</v>
      </c>
      <c r="B88" s="204"/>
      <c r="C88" s="200"/>
      <c r="D88" s="176"/>
      <c r="E88" s="180"/>
      <c r="F88" s="200"/>
      <c r="G88" s="200"/>
      <c r="H88" s="200"/>
      <c r="I88" s="205"/>
      <c r="J88" s="200"/>
      <c r="K88" s="180"/>
      <c r="L88" s="267"/>
      <c r="M88" s="200"/>
      <c r="N88" s="180"/>
      <c r="O88" s="180"/>
      <c r="P88" s="205"/>
      <c r="Q88" s="174"/>
      <c r="R88" s="176"/>
      <c r="S88" s="200"/>
      <c r="T88" s="176"/>
      <c r="U88" s="205"/>
      <c r="V88" s="205"/>
      <c r="W88" s="172"/>
      <c r="X88" s="171"/>
      <c r="Y88" s="171"/>
      <c r="Z88" s="180"/>
      <c r="AA88" s="176"/>
      <c r="AB88" s="172"/>
      <c r="AC88" s="200"/>
      <c r="AD88" s="164"/>
      <c r="AE88" s="205"/>
      <c r="AF88" s="176"/>
      <c r="AG88" s="169"/>
      <c r="AH88" s="169"/>
      <c r="AI88" s="201">
        <f t="shared" si="1"/>
        <v>0</v>
      </c>
      <c r="AJ88" s="173"/>
    </row>
    <row r="89" spans="1:36">
      <c r="A89" s="162" t="s">
        <v>414</v>
      </c>
      <c r="B89" s="204"/>
      <c r="C89" s="200"/>
      <c r="D89" s="176"/>
      <c r="E89" s="180"/>
      <c r="F89" s="200"/>
      <c r="G89" s="200"/>
      <c r="H89" s="200"/>
      <c r="I89" s="205"/>
      <c r="J89" s="200"/>
      <c r="K89" s="180"/>
      <c r="L89" s="267"/>
      <c r="M89" s="200"/>
      <c r="N89" s="180"/>
      <c r="O89" s="180"/>
      <c r="P89" s="205"/>
      <c r="Q89" s="174"/>
      <c r="R89" s="176"/>
      <c r="S89" s="200"/>
      <c r="T89" s="176"/>
      <c r="U89" s="205"/>
      <c r="V89" s="205"/>
      <c r="W89" s="172"/>
      <c r="X89" s="171"/>
      <c r="Y89" s="171"/>
      <c r="Z89" s="180"/>
      <c r="AA89" s="176"/>
      <c r="AB89" s="172"/>
      <c r="AC89" s="200"/>
      <c r="AD89" s="164"/>
      <c r="AE89" s="205"/>
      <c r="AF89" s="176"/>
      <c r="AG89" s="169"/>
      <c r="AH89" s="169"/>
      <c r="AI89" s="201"/>
      <c r="AJ89" s="173"/>
    </row>
    <row r="90" spans="1:36">
      <c r="A90" s="162" t="s">
        <v>540</v>
      </c>
      <c r="B90" s="204"/>
      <c r="C90" s="200"/>
      <c r="D90" s="176"/>
      <c r="E90" s="180">
        <v>25623103</v>
      </c>
      <c r="F90" s="200"/>
      <c r="G90" s="200"/>
      <c r="H90" s="204"/>
      <c r="I90" s="205"/>
      <c r="J90" s="200"/>
      <c r="K90" s="180"/>
      <c r="L90" s="205"/>
      <c r="M90" s="200"/>
      <c r="N90" s="174"/>
      <c r="O90" s="180"/>
      <c r="P90" s="205"/>
      <c r="Q90" s="174"/>
      <c r="R90" s="176"/>
      <c r="S90" s="200"/>
      <c r="T90" s="176"/>
      <c r="U90" s="205"/>
      <c r="V90" s="205"/>
      <c r="W90" s="172"/>
      <c r="X90" s="171"/>
      <c r="Y90" s="171"/>
      <c r="Z90" s="180"/>
      <c r="AA90" s="176"/>
      <c r="AB90" s="172"/>
      <c r="AC90" s="200"/>
      <c r="AD90" s="164"/>
      <c r="AE90" s="205"/>
      <c r="AF90" s="176"/>
      <c r="AG90" s="169"/>
      <c r="AH90" s="169"/>
      <c r="AI90" s="201">
        <f t="shared" si="1"/>
        <v>25623103</v>
      </c>
      <c r="AJ90" s="173"/>
    </row>
    <row r="91" spans="1:36">
      <c r="A91" s="162" t="s">
        <v>175</v>
      </c>
      <c r="B91" s="204"/>
      <c r="C91" s="172"/>
      <c r="D91" s="172">
        <v>3336085601</v>
      </c>
      <c r="E91" s="180">
        <v>4324925096</v>
      </c>
      <c r="F91" s="200">
        <v>3013100310</v>
      </c>
      <c r="G91" s="200"/>
      <c r="H91" s="200"/>
      <c r="I91" s="205">
        <v>4679457414</v>
      </c>
      <c r="J91" s="180"/>
      <c r="K91" s="200">
        <v>1845117544</v>
      </c>
      <c r="L91" s="176"/>
      <c r="M91" s="200"/>
      <c r="N91" s="180"/>
      <c r="O91" s="180"/>
      <c r="P91" s="154"/>
      <c r="Q91" s="205"/>
      <c r="R91" s="176"/>
      <c r="S91" s="200"/>
      <c r="T91" s="200"/>
      <c r="U91" s="200"/>
      <c r="V91" s="200"/>
      <c r="W91" s="175"/>
      <c r="X91" s="175"/>
      <c r="Y91" s="175"/>
      <c r="Z91" s="180"/>
      <c r="AA91" s="172"/>
      <c r="AB91" s="172"/>
      <c r="AC91" s="200"/>
      <c r="AD91" s="172"/>
      <c r="AE91" s="176"/>
      <c r="AF91" s="176"/>
      <c r="AG91" s="176"/>
      <c r="AH91" s="169"/>
      <c r="AI91" s="201">
        <f t="shared" si="1"/>
        <v>17198685965</v>
      </c>
      <c r="AJ91" s="173"/>
    </row>
    <row r="92" spans="1:36">
      <c r="A92" s="162" t="s">
        <v>176</v>
      </c>
      <c r="B92" s="204"/>
      <c r="C92" s="200"/>
      <c r="D92" s="200"/>
      <c r="E92" s="180">
        <v>4273587274</v>
      </c>
      <c r="F92" s="200"/>
      <c r="G92" s="200"/>
      <c r="H92" s="200"/>
      <c r="I92" s="205"/>
      <c r="J92" s="180"/>
      <c r="K92" s="180"/>
      <c r="L92" s="205"/>
      <c r="M92" s="200"/>
      <c r="N92" s="200"/>
      <c r="O92" s="180"/>
      <c r="P92" s="205"/>
      <c r="Q92" s="200"/>
      <c r="R92" s="207"/>
      <c r="S92" s="200"/>
      <c r="T92" s="180"/>
      <c r="U92" s="176"/>
      <c r="V92" s="176"/>
      <c r="W92" s="164"/>
      <c r="X92" s="176"/>
      <c r="Y92" s="180"/>
      <c r="Z92" s="205"/>
      <c r="AA92" s="200"/>
      <c r="AB92" s="172"/>
      <c r="AC92" s="200"/>
      <c r="AD92" s="164"/>
      <c r="AE92" s="205"/>
      <c r="AF92" s="176"/>
      <c r="AG92" s="200"/>
      <c r="AH92" s="200"/>
      <c r="AI92" s="201">
        <f t="shared" si="1"/>
        <v>4273587274</v>
      </c>
      <c r="AJ92" s="173"/>
    </row>
    <row r="93" spans="1:36">
      <c r="A93" s="162" t="s">
        <v>409</v>
      </c>
      <c r="B93" s="204"/>
      <c r="C93" s="200"/>
      <c r="D93" s="200"/>
      <c r="E93" s="180"/>
      <c r="F93" s="200"/>
      <c r="G93" s="200"/>
      <c r="H93" s="200"/>
      <c r="I93" s="205"/>
      <c r="J93" s="180"/>
      <c r="K93" s="180"/>
      <c r="L93" s="205"/>
      <c r="M93" s="200"/>
      <c r="N93" s="200"/>
      <c r="O93" s="180"/>
      <c r="P93" s="205"/>
      <c r="Q93" s="200"/>
      <c r="R93" s="207"/>
      <c r="S93" s="200"/>
      <c r="T93" s="180"/>
      <c r="U93" s="176"/>
      <c r="V93" s="176"/>
      <c r="W93" s="164"/>
      <c r="X93" s="176"/>
      <c r="Y93" s="176"/>
      <c r="Z93" s="176"/>
      <c r="AA93" s="176"/>
      <c r="AB93" s="172"/>
      <c r="AC93" s="200"/>
      <c r="AD93" s="200"/>
      <c r="AE93" s="209"/>
      <c r="AF93" s="176"/>
      <c r="AG93" s="200"/>
      <c r="AH93" s="200"/>
      <c r="AI93" s="201"/>
      <c r="AJ93" s="173"/>
    </row>
    <row r="94" spans="1:36">
      <c r="A94" s="162" t="s">
        <v>202</v>
      </c>
      <c r="B94" s="204"/>
      <c r="C94" s="200"/>
      <c r="D94" s="200"/>
      <c r="E94" s="180">
        <v>136597704</v>
      </c>
      <c r="F94" s="200"/>
      <c r="G94" s="200"/>
      <c r="H94" s="200"/>
      <c r="I94" s="205"/>
      <c r="J94" s="180"/>
      <c r="K94" s="180"/>
      <c r="L94" s="205"/>
      <c r="M94" s="200"/>
      <c r="N94" s="200"/>
      <c r="O94" s="180"/>
      <c r="P94" s="205"/>
      <c r="Q94" s="200"/>
      <c r="R94" s="207"/>
      <c r="S94" s="200"/>
      <c r="T94" s="180"/>
      <c r="U94" s="176"/>
      <c r="V94" s="200"/>
      <c r="W94" s="200"/>
      <c r="X94" s="176"/>
      <c r="Y94" s="180"/>
      <c r="Z94" s="200"/>
      <c r="AA94" s="200"/>
      <c r="AB94" s="172"/>
      <c r="AC94" s="200"/>
      <c r="AD94" s="200"/>
      <c r="AE94" s="207"/>
      <c r="AF94" s="176"/>
      <c r="AG94" s="200"/>
      <c r="AH94" s="200"/>
      <c r="AI94" s="201">
        <f t="shared" si="1"/>
        <v>136597704</v>
      </c>
      <c r="AJ94" s="173"/>
    </row>
    <row r="95" spans="1:36">
      <c r="A95" s="211" t="s">
        <v>41</v>
      </c>
      <c r="B95" s="212"/>
      <c r="C95" s="213">
        <f>SUM(C70:C94)</f>
        <v>0</v>
      </c>
      <c r="D95" s="213">
        <f t="shared" ref="D95:AI95" si="2">SUM(D70:D94)</f>
        <v>4136301324</v>
      </c>
      <c r="E95" s="213">
        <f t="shared" si="2"/>
        <v>11586820140</v>
      </c>
      <c r="F95" s="213">
        <f t="shared" si="2"/>
        <v>12511694477</v>
      </c>
      <c r="G95" s="213">
        <f t="shared" si="2"/>
        <v>0</v>
      </c>
      <c r="H95" s="213">
        <f t="shared" si="2"/>
        <v>0</v>
      </c>
      <c r="I95" s="213">
        <f t="shared" si="2"/>
        <v>4679457414</v>
      </c>
      <c r="J95" s="213">
        <f t="shared" si="2"/>
        <v>0</v>
      </c>
      <c r="K95" s="213">
        <f t="shared" si="2"/>
        <v>2042466232</v>
      </c>
      <c r="L95" s="213">
        <f t="shared" si="2"/>
        <v>7939982356</v>
      </c>
      <c r="M95" s="213">
        <f t="shared" si="2"/>
        <v>3809789598</v>
      </c>
      <c r="N95" s="213">
        <f>SUM(N70:N94)</f>
        <v>0</v>
      </c>
      <c r="O95" s="213">
        <f t="shared" si="2"/>
        <v>0</v>
      </c>
      <c r="P95" s="213">
        <f>SUM(P70:P94)</f>
        <v>0</v>
      </c>
      <c r="Q95" s="213">
        <f t="shared" si="2"/>
        <v>266778130</v>
      </c>
      <c r="R95" s="213">
        <f t="shared" si="2"/>
        <v>7841749620</v>
      </c>
      <c r="S95" s="213">
        <f t="shared" si="2"/>
        <v>0</v>
      </c>
      <c r="T95" s="213">
        <f t="shared" si="2"/>
        <v>5190664945</v>
      </c>
      <c r="U95" s="213">
        <f t="shared" si="2"/>
        <v>0</v>
      </c>
      <c r="V95" s="213">
        <f t="shared" si="2"/>
        <v>0</v>
      </c>
      <c r="W95" s="213">
        <f>SUM(W70:W94)</f>
        <v>0</v>
      </c>
      <c r="X95" s="213">
        <f>SUM(X70:X94)</f>
        <v>0</v>
      </c>
      <c r="Y95" s="213">
        <f t="shared" si="2"/>
        <v>974457830</v>
      </c>
      <c r="Z95" s="213">
        <f t="shared" si="2"/>
        <v>0</v>
      </c>
      <c r="AA95" s="213">
        <f t="shared" si="2"/>
        <v>0</v>
      </c>
      <c r="AB95" s="213">
        <f t="shared" si="2"/>
        <v>0</v>
      </c>
      <c r="AC95" s="213">
        <f t="shared" si="2"/>
        <v>0</v>
      </c>
      <c r="AD95" s="213">
        <f t="shared" si="2"/>
        <v>474997217</v>
      </c>
      <c r="AE95" s="213">
        <f t="shared" si="2"/>
        <v>1647094736</v>
      </c>
      <c r="AF95" s="213">
        <f t="shared" si="2"/>
        <v>0</v>
      </c>
      <c r="AG95" s="213">
        <f t="shared" si="2"/>
        <v>0</v>
      </c>
      <c r="AH95" s="213">
        <f t="shared" si="2"/>
        <v>0</v>
      </c>
      <c r="AI95" s="213">
        <f t="shared" si="2"/>
        <v>58218757764</v>
      </c>
      <c r="AJ95" s="154"/>
    </row>
    <row r="96" spans="1:36">
      <c r="A96" s="393" t="s">
        <v>42</v>
      </c>
      <c r="B96" s="394"/>
      <c r="C96" s="215">
        <f t="shared" ref="C96:AG96" si="3">C67+C95</f>
        <v>0</v>
      </c>
      <c r="D96" s="215">
        <f>D67+D95</f>
        <v>4136301324</v>
      </c>
      <c r="E96" s="216">
        <f t="shared" si="3"/>
        <v>11586820140</v>
      </c>
      <c r="F96" s="216">
        <f t="shared" si="3"/>
        <v>14529862161</v>
      </c>
      <c r="G96" s="216">
        <f t="shared" si="3"/>
        <v>0</v>
      </c>
      <c r="H96" s="216">
        <f t="shared" si="3"/>
        <v>0</v>
      </c>
      <c r="I96" s="216">
        <f t="shared" si="3"/>
        <v>4956817618</v>
      </c>
      <c r="J96" s="215">
        <f t="shared" si="3"/>
        <v>0</v>
      </c>
      <c r="K96" s="215">
        <f t="shared" si="3"/>
        <v>2279836743</v>
      </c>
      <c r="L96" s="216">
        <f t="shared" si="3"/>
        <v>7959711142</v>
      </c>
      <c r="M96" s="216">
        <f>M67+M95</f>
        <v>5556371828</v>
      </c>
      <c r="N96" s="216">
        <f t="shared" si="3"/>
        <v>0</v>
      </c>
      <c r="O96" s="216">
        <f t="shared" si="3"/>
        <v>0</v>
      </c>
      <c r="P96" s="216">
        <f t="shared" si="3"/>
        <v>11216220234</v>
      </c>
      <c r="Q96" s="216">
        <f t="shared" si="3"/>
        <v>753083702</v>
      </c>
      <c r="R96" s="216">
        <f t="shared" si="3"/>
        <v>8042692235</v>
      </c>
      <c r="S96" s="216">
        <f t="shared" si="3"/>
        <v>0</v>
      </c>
      <c r="T96" s="216">
        <f t="shared" si="3"/>
        <v>6964467151</v>
      </c>
      <c r="U96" s="216">
        <f t="shared" si="3"/>
        <v>0</v>
      </c>
      <c r="V96" s="216">
        <f t="shared" si="3"/>
        <v>0</v>
      </c>
      <c r="W96" s="216">
        <f t="shared" si="3"/>
        <v>2528200125</v>
      </c>
      <c r="X96" s="216">
        <f t="shared" si="3"/>
        <v>126201228</v>
      </c>
      <c r="Y96" s="216">
        <f t="shared" si="3"/>
        <v>976656827</v>
      </c>
      <c r="Z96" s="216">
        <f t="shared" si="3"/>
        <v>112243880</v>
      </c>
      <c r="AA96" s="216">
        <f t="shared" si="3"/>
        <v>646138823</v>
      </c>
      <c r="AB96" s="216">
        <f t="shared" si="3"/>
        <v>0</v>
      </c>
      <c r="AC96" s="216">
        <f t="shared" si="3"/>
        <v>0</v>
      </c>
      <c r="AD96" s="216">
        <f t="shared" si="3"/>
        <v>598647617</v>
      </c>
      <c r="AE96" s="216">
        <f t="shared" si="3"/>
        <v>1806259240</v>
      </c>
      <c r="AF96" s="216">
        <f t="shared" si="3"/>
        <v>0</v>
      </c>
      <c r="AG96" s="216">
        <f t="shared" si="3"/>
        <v>9746455046</v>
      </c>
      <c r="AH96" s="216"/>
      <c r="AI96" s="216">
        <f>SUM(C96:AG96)</f>
        <v>94522987064</v>
      </c>
    </row>
    <row r="98" spans="1:36">
      <c r="A98" s="150" t="s">
        <v>50</v>
      </c>
      <c r="C98" s="248">
        <v>27530217044</v>
      </c>
      <c r="D98" s="292">
        <f>C98-C102</f>
        <v>27530217044</v>
      </c>
      <c r="E98" s="248"/>
      <c r="F98" s="248">
        <v>21120221202</v>
      </c>
      <c r="G98" s="248"/>
      <c r="H98" s="248"/>
      <c r="I98" s="248">
        <v>15421005232</v>
      </c>
      <c r="J98" s="248"/>
      <c r="K98" s="292">
        <v>23749191066</v>
      </c>
      <c r="L98" s="248">
        <f>K101</f>
        <v>24079404894</v>
      </c>
      <c r="M98" s="248"/>
      <c r="N98" s="248"/>
      <c r="O98" s="248"/>
      <c r="P98" s="248"/>
      <c r="Q98" s="248">
        <v>14719297538</v>
      </c>
      <c r="R98" s="248">
        <v>18024430198</v>
      </c>
      <c r="S98" s="248"/>
      <c r="T98" s="248">
        <v>16489508289</v>
      </c>
      <c r="U98" s="248"/>
      <c r="V98" s="248"/>
      <c r="W98" s="248">
        <v>17296230330</v>
      </c>
      <c r="X98" s="248">
        <v>19238047219</v>
      </c>
      <c r="Y98" s="248"/>
      <c r="Z98" s="248">
        <v>33166780087</v>
      </c>
      <c r="AA98" s="248"/>
      <c r="AB98" s="293"/>
      <c r="AC98" s="248"/>
      <c r="AD98" s="248">
        <v>44463392305</v>
      </c>
      <c r="AE98" s="248"/>
      <c r="AF98" s="248"/>
      <c r="AG98" s="248"/>
      <c r="AH98" s="248"/>
      <c r="AI98" s="228"/>
      <c r="AJ98" s="228"/>
    </row>
    <row r="99" spans="1:36">
      <c r="A99" s="150" t="s">
        <v>139</v>
      </c>
      <c r="C99" s="294">
        <f>C98-C96</f>
        <v>27530217044</v>
      </c>
      <c r="D99" s="295"/>
      <c r="E99" s="296"/>
      <c r="F99" s="248"/>
      <c r="G99" s="296"/>
      <c r="H99" s="248"/>
      <c r="I99" s="296">
        <f>I98-I96</f>
        <v>10464187614</v>
      </c>
      <c r="J99" s="248"/>
      <c r="K99" s="297">
        <f>K98-K96</f>
        <v>21469354323</v>
      </c>
      <c r="L99" s="296"/>
      <c r="M99" s="293"/>
      <c r="N99" s="293"/>
      <c r="O99" s="293"/>
      <c r="P99" s="293"/>
      <c r="Q99" s="293">
        <f>Q98-Q96</f>
        <v>13966213836</v>
      </c>
      <c r="R99" s="293">
        <f>R98-R96</f>
        <v>9981737963</v>
      </c>
      <c r="S99" s="293"/>
      <c r="T99" s="293">
        <f>T98-T96</f>
        <v>9525041138</v>
      </c>
      <c r="U99" s="293"/>
      <c r="V99" s="293"/>
      <c r="W99" s="296">
        <f>W98-W96</f>
        <v>14768030205</v>
      </c>
      <c r="X99" s="248">
        <f>X98-X96</f>
        <v>19111845991</v>
      </c>
      <c r="Y99" s="296"/>
      <c r="Z99" s="248">
        <f>Z98-Z96</f>
        <v>33054536207</v>
      </c>
      <c r="AA99" s="248"/>
      <c r="AB99" s="293"/>
      <c r="AC99" s="296"/>
      <c r="AD99" s="296">
        <f>AD98-AD96</f>
        <v>43864744688</v>
      </c>
      <c r="AE99" s="296"/>
      <c r="AF99" s="296"/>
      <c r="AG99" s="296"/>
      <c r="AH99" s="296"/>
      <c r="AI99" s="296"/>
      <c r="AJ99" s="228"/>
    </row>
    <row r="100" spans="1:36">
      <c r="A100" s="150" t="s">
        <v>181</v>
      </c>
      <c r="C100" s="248">
        <v>2000000000</v>
      </c>
      <c r="D100" s="295"/>
      <c r="E100" s="248"/>
      <c r="F100" s="248"/>
      <c r="G100" s="248"/>
      <c r="H100" s="248"/>
      <c r="I100" s="248">
        <v>3049000000</v>
      </c>
      <c r="J100" s="248"/>
      <c r="K100" s="297">
        <v>2610050571</v>
      </c>
      <c r="L100" s="248"/>
      <c r="M100" s="248"/>
      <c r="N100" s="248"/>
      <c r="O100" s="293"/>
      <c r="P100" s="248"/>
      <c r="Q100" s="248">
        <v>2542169772</v>
      </c>
      <c r="R100" s="296"/>
      <c r="S100" s="248"/>
      <c r="T100" s="248"/>
      <c r="U100" s="248"/>
      <c r="V100" s="248"/>
      <c r="W100" s="248">
        <v>1801571596</v>
      </c>
      <c r="X100" s="248">
        <v>3288556629</v>
      </c>
      <c r="Y100" s="293"/>
      <c r="Z100" s="248">
        <v>2969156598</v>
      </c>
      <c r="AA100" s="248"/>
      <c r="AB100" s="248"/>
      <c r="AC100" s="248"/>
      <c r="AD100" s="293">
        <v>2332831443</v>
      </c>
      <c r="AE100" s="248"/>
      <c r="AF100" s="248"/>
      <c r="AG100" s="248"/>
      <c r="AH100" s="248"/>
      <c r="AI100" s="296"/>
      <c r="AJ100" s="228"/>
    </row>
    <row r="101" spans="1:36">
      <c r="A101" s="150" t="s">
        <v>139</v>
      </c>
      <c r="C101" s="248">
        <f>C99+C100</f>
        <v>29530217044</v>
      </c>
      <c r="D101" s="295"/>
      <c r="E101" s="248"/>
      <c r="F101" s="248"/>
      <c r="G101" s="248"/>
      <c r="H101" s="248"/>
      <c r="I101" s="248"/>
      <c r="J101" s="292"/>
      <c r="K101" s="292">
        <f>K99+K100</f>
        <v>24079404894</v>
      </c>
      <c r="L101" s="248"/>
      <c r="M101" s="248"/>
      <c r="N101" s="248"/>
      <c r="O101" s="248"/>
      <c r="P101" s="248"/>
      <c r="Q101" s="248">
        <f>Q99+Q100</f>
        <v>16508383608</v>
      </c>
      <c r="R101" s="248"/>
      <c r="S101" s="248"/>
      <c r="T101" s="248"/>
      <c r="U101" s="248"/>
      <c r="V101" s="248"/>
      <c r="W101" s="248">
        <f>W99+W100</f>
        <v>16569601801</v>
      </c>
      <c r="X101" s="248">
        <f>X99+X100</f>
        <v>22400402620</v>
      </c>
      <c r="Y101" s="293"/>
      <c r="Z101" s="296">
        <f>Z99+Z100</f>
        <v>36023692805</v>
      </c>
      <c r="AA101" s="296"/>
      <c r="AB101" s="248"/>
      <c r="AC101" s="248"/>
      <c r="AD101" s="296">
        <f>AD99+AD100</f>
        <v>46197576131</v>
      </c>
      <c r="AE101" s="296"/>
      <c r="AF101" s="296"/>
      <c r="AG101" s="296"/>
      <c r="AH101" s="296"/>
      <c r="AI101" s="296"/>
      <c r="AJ101" s="228"/>
    </row>
    <row r="102" spans="1:36">
      <c r="A102" s="150" t="s">
        <v>407</v>
      </c>
      <c r="C102" s="297">
        <f>C73+C91</f>
        <v>0</v>
      </c>
      <c r="D102" s="297"/>
      <c r="E102" s="248"/>
      <c r="F102" s="248"/>
      <c r="G102" s="228"/>
      <c r="H102" s="293"/>
      <c r="I102" s="248"/>
      <c r="J102" s="292"/>
      <c r="K102" s="297">
        <f>K23+K24+K63+K87+K91</f>
        <v>2279836743</v>
      </c>
      <c r="L102" s="248"/>
      <c r="M102" s="248"/>
      <c r="N102" s="248"/>
      <c r="O102" s="228"/>
      <c r="P102" s="248"/>
      <c r="Q102" s="296">
        <f>Q8+Q25+Q26+Q27+Q87</f>
        <v>753083702</v>
      </c>
      <c r="R102" s="228"/>
      <c r="S102" s="296"/>
      <c r="T102" s="296"/>
      <c r="U102" s="248"/>
      <c r="V102" s="248"/>
      <c r="W102" s="293">
        <f>W54+W56+W61+W64</f>
        <v>2528200125</v>
      </c>
      <c r="X102" s="248"/>
      <c r="Y102" s="296"/>
      <c r="Z102" s="296"/>
      <c r="AA102" s="296"/>
      <c r="AB102" s="248"/>
      <c r="AC102" s="228"/>
      <c r="AD102" s="228"/>
      <c r="AE102" s="228"/>
      <c r="AF102" s="228"/>
      <c r="AG102" s="248"/>
      <c r="AH102" s="248"/>
      <c r="AI102" s="228"/>
      <c r="AJ102" s="296"/>
    </row>
    <row r="103" spans="1:36">
      <c r="C103" s="193"/>
      <c r="F103" s="154"/>
      <c r="I103" s="219"/>
      <c r="K103" s="218"/>
      <c r="L103" s="154"/>
      <c r="R103" s="217"/>
      <c r="S103" s="219"/>
      <c r="V103" s="154"/>
      <c r="W103" s="219">
        <f>W98-W102</f>
        <v>14768030205</v>
      </c>
      <c r="X103" s="219"/>
      <c r="AD103" s="398" t="s">
        <v>580</v>
      </c>
      <c r="AE103" s="398"/>
      <c r="AF103" s="398"/>
    </row>
    <row r="104" spans="1:36">
      <c r="L104" s="154"/>
      <c r="Y104" s="154"/>
      <c r="AD104" s="284" t="s">
        <v>443</v>
      </c>
      <c r="AE104" s="285" t="s">
        <v>444</v>
      </c>
      <c r="AF104" s="284" t="s">
        <v>445</v>
      </c>
      <c r="AG104" s="283"/>
      <c r="AH104" s="222"/>
      <c r="AI104" s="169"/>
      <c r="AJ104" s="176"/>
    </row>
    <row r="105" spans="1:36">
      <c r="C105" s="150"/>
      <c r="D105" s="150"/>
      <c r="F105" s="395" t="s">
        <v>481</v>
      </c>
      <c r="G105" s="395"/>
      <c r="H105" s="395" t="s">
        <v>481</v>
      </c>
      <c r="I105" s="395"/>
      <c r="J105" s="395" t="s">
        <v>481</v>
      </c>
      <c r="K105" s="395"/>
      <c r="L105" s="395" t="s">
        <v>481</v>
      </c>
      <c r="M105" s="395"/>
      <c r="P105" s="298" t="s">
        <v>430</v>
      </c>
      <c r="Q105" s="298"/>
      <c r="R105" s="395" t="s">
        <v>481</v>
      </c>
      <c r="S105" s="395"/>
      <c r="T105" s="395"/>
      <c r="AD105" s="169" t="s">
        <v>582</v>
      </c>
      <c r="AE105" s="176" t="s">
        <v>583</v>
      </c>
      <c r="AF105" s="176">
        <f>1707000+1707000</f>
        <v>3414000</v>
      </c>
      <c r="AG105" s="222"/>
      <c r="AH105" s="222"/>
      <c r="AI105" s="169"/>
      <c r="AJ105" s="176"/>
    </row>
    <row r="106" spans="1:36">
      <c r="F106" s="395" t="s">
        <v>482</v>
      </c>
      <c r="G106" s="395"/>
      <c r="H106" s="395" t="s">
        <v>504</v>
      </c>
      <c r="I106" s="395"/>
      <c r="J106" s="395" t="s">
        <v>508</v>
      </c>
      <c r="K106" s="395"/>
      <c r="L106" s="395" t="s">
        <v>546</v>
      </c>
      <c r="M106" s="395"/>
      <c r="O106" s="150" t="s">
        <v>375</v>
      </c>
      <c r="P106" s="299">
        <v>44635</v>
      </c>
      <c r="Q106" s="299"/>
      <c r="R106" s="402" t="s">
        <v>603</v>
      </c>
      <c r="S106" s="402"/>
      <c r="T106" s="402"/>
      <c r="U106" s="185"/>
      <c r="AA106" s="150" t="s">
        <v>111</v>
      </c>
      <c r="AD106" s="169" t="s">
        <v>582</v>
      </c>
      <c r="AE106" s="176" t="s">
        <v>584</v>
      </c>
      <c r="AF106" s="176">
        <v>750000</v>
      </c>
      <c r="AG106" s="222"/>
      <c r="AH106" s="222"/>
      <c r="AI106" s="169"/>
      <c r="AJ106" s="176"/>
    </row>
    <row r="107" spans="1:36">
      <c r="F107" s="225" t="s">
        <v>233</v>
      </c>
      <c r="G107" s="225" t="s">
        <v>241</v>
      </c>
      <c r="H107" s="225" t="s">
        <v>233</v>
      </c>
      <c r="I107" s="225" t="s">
        <v>241</v>
      </c>
      <c r="J107" s="225" t="s">
        <v>233</v>
      </c>
      <c r="K107" s="225" t="s">
        <v>241</v>
      </c>
      <c r="L107" s="225" t="s">
        <v>233</v>
      </c>
      <c r="M107" s="225" t="s">
        <v>241</v>
      </c>
      <c r="P107" s="249" t="s">
        <v>443</v>
      </c>
      <c r="Q107" s="249"/>
      <c r="R107" s="249" t="s">
        <v>443</v>
      </c>
      <c r="S107" s="249" t="s">
        <v>444</v>
      </c>
      <c r="T107" s="249" t="s">
        <v>445</v>
      </c>
      <c r="U107" s="185"/>
      <c r="AB107" s="150" t="s">
        <v>111</v>
      </c>
      <c r="AD107" s="169" t="s">
        <v>594</v>
      </c>
      <c r="AE107" s="176" t="s">
        <v>595</v>
      </c>
      <c r="AF107" s="176">
        <v>4690222</v>
      </c>
      <c r="AG107" s="222"/>
      <c r="AH107" s="222"/>
      <c r="AI107" s="169"/>
      <c r="AJ107" s="176"/>
    </row>
    <row r="108" spans="1:36">
      <c r="C108" s="150"/>
      <c r="D108" s="150"/>
      <c r="F108" s="169" t="s">
        <v>483</v>
      </c>
      <c r="G108" s="176">
        <v>343636</v>
      </c>
      <c r="H108" s="169" t="s">
        <v>505</v>
      </c>
      <c r="I108" s="176">
        <v>27759800</v>
      </c>
      <c r="J108" s="169" t="s">
        <v>509</v>
      </c>
      <c r="K108" s="176">
        <v>26400000</v>
      </c>
      <c r="L108" s="169" t="s">
        <v>516</v>
      </c>
      <c r="M108" s="176">
        <v>2595000</v>
      </c>
      <c r="N108" s="247"/>
      <c r="O108" s="247" t="s">
        <v>376</v>
      </c>
      <c r="P108" s="250" t="s">
        <v>431</v>
      </c>
      <c r="Q108" s="250"/>
      <c r="R108" s="250" t="s">
        <v>604</v>
      </c>
      <c r="S108" s="250" t="s">
        <v>605</v>
      </c>
      <c r="T108" s="250">
        <v>1200000</v>
      </c>
      <c r="U108" s="247"/>
      <c r="V108" s="247"/>
      <c r="AD108" s="169" t="s">
        <v>468</v>
      </c>
      <c r="AE108" s="176" t="s">
        <v>581</v>
      </c>
      <c r="AF108" s="176">
        <v>382100</v>
      </c>
      <c r="AG108" s="286"/>
      <c r="AH108" s="224"/>
      <c r="AI108" s="169"/>
      <c r="AJ108" s="176"/>
    </row>
    <row r="109" spans="1:36">
      <c r="C109" s="150"/>
      <c r="D109" s="150"/>
      <c r="F109" s="169" t="s">
        <v>484</v>
      </c>
      <c r="G109" s="176">
        <v>721636</v>
      </c>
      <c r="H109" s="169" t="s">
        <v>506</v>
      </c>
      <c r="I109" s="176">
        <v>27759800</v>
      </c>
      <c r="J109" s="169" t="s">
        <v>510</v>
      </c>
      <c r="K109" s="176">
        <v>3800000</v>
      </c>
      <c r="L109" s="169" t="s">
        <v>517</v>
      </c>
      <c r="M109" s="176">
        <v>5870050</v>
      </c>
      <c r="N109" s="247"/>
      <c r="O109" s="247"/>
      <c r="P109" s="250" t="s">
        <v>433</v>
      </c>
      <c r="Q109" s="250"/>
      <c r="R109" s="250" t="s">
        <v>606</v>
      </c>
      <c r="S109" s="250" t="s">
        <v>607</v>
      </c>
      <c r="T109" s="250">
        <v>2310000</v>
      </c>
      <c r="U109" s="247"/>
      <c r="V109" s="247"/>
      <c r="W109" s="395"/>
      <c r="X109" s="395"/>
      <c r="Y109" s="395"/>
      <c r="Z109" s="395"/>
      <c r="AD109" s="169" t="s">
        <v>585</v>
      </c>
      <c r="AE109" s="176" t="s">
        <v>586</v>
      </c>
      <c r="AF109" s="176">
        <v>600739</v>
      </c>
      <c r="AG109" s="154"/>
      <c r="AH109" s="154"/>
      <c r="AI109" s="169"/>
      <c r="AJ109" s="176"/>
    </row>
    <row r="110" spans="1:36">
      <c r="C110" s="150"/>
      <c r="D110" s="150"/>
      <c r="F110" s="169" t="s">
        <v>485</v>
      </c>
      <c r="G110" s="176">
        <v>687272</v>
      </c>
      <c r="H110" s="169" t="s">
        <v>507</v>
      </c>
      <c r="I110" s="176">
        <v>27759800</v>
      </c>
      <c r="J110" s="169" t="s">
        <v>511</v>
      </c>
      <c r="K110" s="176">
        <v>2400000</v>
      </c>
      <c r="L110" s="169" t="s">
        <v>518</v>
      </c>
      <c r="M110" s="176">
        <v>2638810</v>
      </c>
      <c r="N110" s="247"/>
      <c r="O110" s="247"/>
      <c r="P110" s="250" t="s">
        <v>433</v>
      </c>
      <c r="Q110" s="250"/>
      <c r="R110" s="250" t="s">
        <v>609</v>
      </c>
      <c r="S110" s="250" t="s">
        <v>608</v>
      </c>
      <c r="T110" s="250">
        <v>6655142</v>
      </c>
      <c r="U110" s="247"/>
      <c r="V110" s="247"/>
      <c r="W110" s="398" t="s">
        <v>535</v>
      </c>
      <c r="X110" s="398"/>
      <c r="Y110" s="154" t="s">
        <v>596</v>
      </c>
      <c r="Z110" s="154"/>
      <c r="AD110" s="169" t="s">
        <v>587</v>
      </c>
      <c r="AE110" s="176" t="s">
        <v>588</v>
      </c>
      <c r="AF110" s="176">
        <v>490000</v>
      </c>
      <c r="AG110" s="154"/>
      <c r="AH110" s="154"/>
      <c r="AI110" s="169"/>
      <c r="AJ110" s="176"/>
    </row>
    <row r="111" spans="1:36">
      <c r="C111" s="150"/>
      <c r="D111" s="150"/>
      <c r="F111" s="169" t="s">
        <v>486</v>
      </c>
      <c r="G111" s="176">
        <v>1080000</v>
      </c>
      <c r="H111" s="169"/>
      <c r="I111" s="176"/>
      <c r="J111" s="169" t="s">
        <v>512</v>
      </c>
      <c r="K111" s="176">
        <v>3000000</v>
      </c>
      <c r="L111" s="169" t="s">
        <v>519</v>
      </c>
      <c r="M111" s="176">
        <v>2832750</v>
      </c>
      <c r="N111" s="247"/>
      <c r="O111" s="247"/>
      <c r="P111" s="250" t="s">
        <v>236</v>
      </c>
      <c r="Q111" s="250"/>
      <c r="R111" s="250" t="s">
        <v>609</v>
      </c>
      <c r="S111" s="250" t="s">
        <v>610</v>
      </c>
      <c r="T111" s="250">
        <v>10524700</v>
      </c>
      <c r="U111" s="247"/>
      <c r="V111" s="247"/>
      <c r="W111" s="225" t="s">
        <v>233</v>
      </c>
      <c r="X111" s="225" t="s">
        <v>241</v>
      </c>
      <c r="Y111" s="248" t="s">
        <v>597</v>
      </c>
      <c r="Z111" s="154">
        <v>3262613192</v>
      </c>
      <c r="AD111" s="169" t="s">
        <v>590</v>
      </c>
      <c r="AE111" s="176" t="s">
        <v>589</v>
      </c>
      <c r="AF111" s="176">
        <v>70661200</v>
      </c>
      <c r="AG111" s="154"/>
      <c r="AH111" s="154"/>
      <c r="AI111" s="169"/>
      <c r="AJ111" s="176"/>
    </row>
    <row r="112" spans="1:36">
      <c r="C112" s="150"/>
      <c r="D112" s="150"/>
      <c r="F112" s="169" t="s">
        <v>487</v>
      </c>
      <c r="G112" s="176">
        <v>687272</v>
      </c>
      <c r="H112" s="169" t="s">
        <v>241</v>
      </c>
      <c r="I112" s="176">
        <f>SUM(I108:I111)</f>
        <v>83279400</v>
      </c>
      <c r="J112" s="169" t="s">
        <v>513</v>
      </c>
      <c r="K112" s="176">
        <v>1000000</v>
      </c>
      <c r="L112" s="169" t="s">
        <v>520</v>
      </c>
      <c r="M112" s="176">
        <v>4366667</v>
      </c>
      <c r="N112" s="247"/>
      <c r="O112" s="247"/>
      <c r="P112" s="250" t="s">
        <v>437</v>
      </c>
      <c r="Q112" s="250"/>
      <c r="R112" s="250" t="s">
        <v>611</v>
      </c>
      <c r="S112" s="250" t="s">
        <v>612</v>
      </c>
      <c r="T112" s="250">
        <v>6145000</v>
      </c>
      <c r="U112" s="247"/>
      <c r="V112" s="247"/>
      <c r="W112" s="226" t="s">
        <v>531</v>
      </c>
      <c r="X112" s="176">
        <v>5000000</v>
      </c>
      <c r="Y112" s="154" t="s">
        <v>598</v>
      </c>
      <c r="Z112" s="154">
        <v>9046143683</v>
      </c>
      <c r="AD112" s="169" t="s">
        <v>591</v>
      </c>
      <c r="AE112" s="176" t="s">
        <v>589</v>
      </c>
      <c r="AF112" s="176">
        <v>58786100</v>
      </c>
      <c r="AG112" s="154"/>
      <c r="AH112" s="154"/>
      <c r="AI112" s="169"/>
      <c r="AJ112" s="176"/>
    </row>
    <row r="113" spans="3:42">
      <c r="C113" s="150"/>
      <c r="D113" s="150"/>
      <c r="F113" s="169" t="s">
        <v>488</v>
      </c>
      <c r="G113" s="176">
        <v>756000</v>
      </c>
      <c r="H113" s="154"/>
      <c r="J113" s="169" t="s">
        <v>514</v>
      </c>
      <c r="K113" s="176">
        <v>3330800</v>
      </c>
      <c r="L113" s="169" t="s">
        <v>521</v>
      </c>
      <c r="M113" s="176">
        <v>711146</v>
      </c>
      <c r="N113" s="247"/>
      <c r="O113" s="247"/>
      <c r="P113" s="250" t="s">
        <v>437</v>
      </c>
      <c r="Q113" s="250"/>
      <c r="R113" s="250"/>
      <c r="S113" s="250"/>
      <c r="T113" s="250"/>
      <c r="U113" s="247"/>
      <c r="V113" s="247"/>
      <c r="W113" s="226" t="s">
        <v>532</v>
      </c>
      <c r="X113" s="176">
        <v>432000</v>
      </c>
      <c r="Y113" s="248" t="s">
        <v>599</v>
      </c>
      <c r="Z113" s="154">
        <v>16291070094</v>
      </c>
      <c r="AD113" s="169" t="s">
        <v>592</v>
      </c>
      <c r="AE113" s="176" t="s">
        <v>589</v>
      </c>
      <c r="AF113" s="176">
        <v>12601000</v>
      </c>
      <c r="AI113" s="169"/>
      <c r="AJ113" s="176"/>
    </row>
    <row r="114" spans="3:42">
      <c r="C114" s="150"/>
      <c r="D114" s="150"/>
      <c r="F114" s="169" t="s">
        <v>491</v>
      </c>
      <c r="G114" s="176">
        <v>1905000</v>
      </c>
      <c r="H114" s="154"/>
      <c r="I114" s="154"/>
      <c r="J114" s="169"/>
      <c r="K114" s="176"/>
      <c r="L114" s="169" t="s">
        <v>522</v>
      </c>
      <c r="M114" s="176">
        <v>432000</v>
      </c>
      <c r="O114" s="228"/>
      <c r="P114" s="300" t="s">
        <v>446</v>
      </c>
      <c r="Q114" s="301"/>
      <c r="R114" s="301"/>
      <c r="S114" s="302"/>
      <c r="T114" s="303">
        <f>SUM(T108:T112)</f>
        <v>26834842</v>
      </c>
      <c r="U114" s="228"/>
      <c r="V114" s="229"/>
      <c r="W114" s="169" t="s">
        <v>533</v>
      </c>
      <c r="X114" s="176">
        <v>1506662</v>
      </c>
      <c r="Y114" s="154" t="s">
        <v>600</v>
      </c>
      <c r="Z114" s="154">
        <v>197348688</v>
      </c>
      <c r="AD114" s="169"/>
      <c r="AE114" s="176"/>
      <c r="AF114" s="176"/>
      <c r="AI114" s="169"/>
      <c r="AJ114" s="176"/>
      <c r="AN114" s="150" t="s">
        <v>108</v>
      </c>
    </row>
    <row r="115" spans="3:42">
      <c r="C115" s="150"/>
      <c r="D115" s="150"/>
      <c r="F115" s="169"/>
      <c r="G115" s="176"/>
      <c r="H115" s="154"/>
      <c r="I115" s="154"/>
      <c r="J115" s="169"/>
      <c r="K115" s="176"/>
      <c r="L115" s="169" t="s">
        <v>523</v>
      </c>
      <c r="M115" s="176">
        <v>1460000</v>
      </c>
      <c r="O115" s="228"/>
      <c r="P115" s="291"/>
      <c r="Q115" s="291"/>
      <c r="R115" s="291"/>
      <c r="S115" s="291"/>
      <c r="T115" s="251"/>
      <c r="U115" s="228"/>
      <c r="V115" s="229"/>
      <c r="W115" s="169" t="s">
        <v>534</v>
      </c>
      <c r="X115" s="176">
        <v>4745000</v>
      </c>
      <c r="Y115" s="154"/>
      <c r="Z115" s="154"/>
      <c r="AB115" s="150" t="s">
        <v>111</v>
      </c>
      <c r="AD115" s="169" t="s">
        <v>241</v>
      </c>
      <c r="AE115" s="176"/>
      <c r="AF115" s="176">
        <f>SUM(AF105:AF114)</f>
        <v>152375361</v>
      </c>
      <c r="AI115" s="169"/>
      <c r="AJ115" s="176"/>
    </row>
    <row r="116" spans="3:42">
      <c r="C116" s="150"/>
      <c r="D116" s="150"/>
      <c r="F116" s="169"/>
      <c r="G116" s="176"/>
      <c r="H116" s="154"/>
      <c r="I116" s="154"/>
      <c r="J116" s="169"/>
      <c r="K116" s="176"/>
      <c r="L116" s="169" t="s">
        <v>524</v>
      </c>
      <c r="M116" s="176">
        <v>1089999</v>
      </c>
      <c r="O116" s="228"/>
      <c r="P116" s="291"/>
      <c r="Q116" s="291"/>
      <c r="R116" s="291"/>
      <c r="S116" s="291"/>
      <c r="T116" s="251"/>
      <c r="U116" s="228"/>
      <c r="V116" s="229"/>
      <c r="W116" s="169"/>
      <c r="X116" s="176"/>
      <c r="Y116" s="154"/>
      <c r="Z116" s="154">
        <f>SUM(Z111:Z115)</f>
        <v>28797175657</v>
      </c>
      <c r="AD116" s="169"/>
      <c r="AE116" s="176"/>
      <c r="AF116" s="176"/>
      <c r="AI116" s="169"/>
      <c r="AJ116" s="176"/>
    </row>
    <row r="117" spans="3:42">
      <c r="C117" s="150"/>
      <c r="D117" s="150"/>
      <c r="F117" s="169"/>
      <c r="G117" s="176"/>
      <c r="H117" s="154"/>
      <c r="I117" s="154"/>
      <c r="J117" s="169"/>
      <c r="K117" s="176"/>
      <c r="L117" s="169" t="s">
        <v>525</v>
      </c>
      <c r="M117" s="176">
        <v>500000</v>
      </c>
      <c r="O117" s="228"/>
      <c r="P117" s="291"/>
      <c r="Q117" s="291"/>
      <c r="R117" s="291"/>
      <c r="S117" s="291"/>
      <c r="T117" s="251"/>
      <c r="U117" s="228"/>
      <c r="V117" s="229"/>
      <c r="W117" s="169" t="s">
        <v>241</v>
      </c>
      <c r="X117" s="272">
        <f>SUM(X112:X116)</f>
        <v>11683662</v>
      </c>
      <c r="Y117" s="154"/>
      <c r="Z117" s="154"/>
      <c r="AA117" s="150" t="s">
        <v>112</v>
      </c>
      <c r="AD117" s="287"/>
      <c r="AE117" s="288"/>
      <c r="AI117" s="169"/>
      <c r="AJ117" s="176"/>
    </row>
    <row r="118" spans="3:42">
      <c r="C118" s="150"/>
      <c r="D118" s="150"/>
      <c r="F118" s="169" t="s">
        <v>489</v>
      </c>
      <c r="G118" s="176">
        <v>3293250</v>
      </c>
      <c r="I118" s="154"/>
      <c r="J118" s="169"/>
      <c r="K118" s="176"/>
      <c r="L118" s="169" t="s">
        <v>526</v>
      </c>
      <c r="M118" s="176">
        <v>15000000</v>
      </c>
      <c r="N118" s="247"/>
      <c r="O118" s="247"/>
      <c r="P118" s="250" t="s">
        <v>440</v>
      </c>
      <c r="Q118" s="250"/>
      <c r="R118" s="250"/>
      <c r="S118" s="250" t="s">
        <v>441</v>
      </c>
      <c r="T118" s="250">
        <v>32809000</v>
      </c>
      <c r="U118" s="247"/>
      <c r="V118" s="247"/>
      <c r="W118" s="226"/>
      <c r="X118" s="169"/>
      <c r="Y118" s="248"/>
      <c r="Z118" s="248"/>
      <c r="AD118" s="169"/>
      <c r="AE118" s="176"/>
      <c r="AI118" s="169"/>
      <c r="AJ118" s="176"/>
      <c r="AM118" s="150" t="s">
        <v>111</v>
      </c>
    </row>
    <row r="119" spans="3:42">
      <c r="C119" s="150"/>
      <c r="D119" s="150"/>
      <c r="F119" s="169"/>
      <c r="G119" s="176"/>
      <c r="I119" s="154"/>
      <c r="J119" s="169"/>
      <c r="K119" s="176"/>
      <c r="L119" s="169"/>
      <c r="M119" s="176"/>
      <c r="N119" s="247"/>
      <c r="O119" s="247"/>
      <c r="P119" s="250"/>
      <c r="Q119" s="250"/>
      <c r="R119" s="250"/>
      <c r="S119" s="250"/>
      <c r="T119" s="250"/>
      <c r="U119" s="247"/>
      <c r="V119" s="247"/>
      <c r="W119" s="226"/>
      <c r="X119" s="169"/>
      <c r="Y119" s="154"/>
      <c r="Z119" s="154"/>
      <c r="AA119" s="150" t="s">
        <v>112</v>
      </c>
      <c r="AD119" s="169"/>
      <c r="AE119" s="176"/>
      <c r="AI119" s="169"/>
      <c r="AJ119" s="176"/>
    </row>
    <row r="120" spans="3:42">
      <c r="C120" s="150"/>
      <c r="D120" s="150"/>
      <c r="E120" s="150" t="s">
        <v>111</v>
      </c>
      <c r="F120" s="169" t="s">
        <v>490</v>
      </c>
      <c r="G120" s="176">
        <v>5729600</v>
      </c>
      <c r="I120" s="154"/>
      <c r="J120" s="169" t="s">
        <v>241</v>
      </c>
      <c r="K120" s="176">
        <f>SUM(K108:K118)</f>
        <v>39930800</v>
      </c>
      <c r="L120" s="169" t="s">
        <v>241</v>
      </c>
      <c r="M120" s="176">
        <f>SUM(M108:M118)</f>
        <v>37496422</v>
      </c>
      <c r="N120" s="247"/>
      <c r="O120" s="247"/>
      <c r="P120" s="250" t="s">
        <v>440</v>
      </c>
      <c r="Q120" s="250"/>
      <c r="R120" s="250"/>
      <c r="S120" s="250" t="s">
        <v>442</v>
      </c>
      <c r="T120" s="250">
        <v>6107500</v>
      </c>
      <c r="U120" s="247"/>
      <c r="V120" s="247"/>
      <c r="W120" s="226"/>
      <c r="X120" s="169"/>
      <c r="Y120" s="248"/>
      <c r="Z120" s="248"/>
      <c r="AD120" s="169"/>
      <c r="AE120" s="176"/>
      <c r="AI120" s="169"/>
      <c r="AJ120" s="176"/>
    </row>
    <row r="121" spans="3:42">
      <c r="C121" s="150"/>
      <c r="D121" s="154"/>
      <c r="E121" s="154">
        <v>3913100</v>
      </c>
      <c r="F121" s="169"/>
      <c r="G121" s="176"/>
      <c r="I121" s="154"/>
      <c r="J121" s="193"/>
      <c r="O121" s="228"/>
      <c r="P121" s="248"/>
      <c r="Q121" s="248"/>
      <c r="R121" s="248"/>
      <c r="S121" s="248"/>
      <c r="T121" s="248"/>
      <c r="U121" s="248"/>
      <c r="V121" s="228"/>
      <c r="W121" s="248"/>
      <c r="X121" s="248"/>
      <c r="Y121" s="154"/>
      <c r="Z121" s="154"/>
      <c r="AA121" s="154"/>
      <c r="AD121" s="169"/>
      <c r="AE121" s="176"/>
      <c r="AI121" s="169"/>
      <c r="AJ121" s="176"/>
    </row>
    <row r="122" spans="3:42">
      <c r="D122" s="193" t="s">
        <v>111</v>
      </c>
      <c r="E122" s="154">
        <v>5857200</v>
      </c>
      <c r="F122" s="169" t="s">
        <v>241</v>
      </c>
      <c r="G122" s="176">
        <f>SUM(G108:G121)</f>
        <v>15203666</v>
      </c>
      <c r="H122" s="154"/>
      <c r="I122" s="154"/>
      <c r="J122" s="193"/>
      <c r="P122" s="247"/>
      <c r="Q122" s="247"/>
      <c r="R122" s="247"/>
      <c r="S122" s="247"/>
      <c r="T122" s="154"/>
      <c r="U122" s="154"/>
      <c r="W122" s="154"/>
      <c r="X122" s="154"/>
      <c r="Y122" s="154"/>
      <c r="Z122" s="154"/>
      <c r="AA122" s="154" t="s">
        <v>111</v>
      </c>
      <c r="AD122" s="169"/>
      <c r="AE122" s="176"/>
      <c r="AI122" s="192"/>
      <c r="AJ122" s="227"/>
    </row>
    <row r="123" spans="3:42">
      <c r="D123" s="193"/>
      <c r="E123" s="154">
        <v>4120000</v>
      </c>
      <c r="G123" s="154"/>
      <c r="H123" s="154"/>
      <c r="I123" s="154"/>
      <c r="J123" s="193"/>
      <c r="P123" s="154"/>
      <c r="Q123" s="154"/>
      <c r="R123" s="154"/>
      <c r="S123" s="154"/>
      <c r="T123" s="154"/>
      <c r="U123" s="154"/>
      <c r="W123" s="248"/>
      <c r="X123" s="248"/>
      <c r="Y123" s="248"/>
      <c r="Z123" s="248"/>
      <c r="AA123" s="154"/>
      <c r="AD123" s="169"/>
      <c r="AE123" s="176"/>
      <c r="AJ123" s="154"/>
    </row>
    <row r="124" spans="3:42">
      <c r="D124" s="193"/>
      <c r="E124" s="154">
        <v>1750000</v>
      </c>
      <c r="G124" s="154"/>
      <c r="H124" s="154"/>
      <c r="I124" s="154"/>
      <c r="J124" s="193"/>
      <c r="L124" s="154"/>
      <c r="M124" s="154"/>
      <c r="P124" s="154"/>
      <c r="Q124" s="154"/>
      <c r="R124" s="154"/>
      <c r="S124" s="154"/>
      <c r="T124" s="154"/>
      <c r="U124" s="154"/>
      <c r="W124" s="154"/>
      <c r="X124" s="154"/>
      <c r="Y124" s="154"/>
      <c r="Z124" s="154"/>
      <c r="AA124" s="154"/>
      <c r="AD124" s="192" t="s">
        <v>241</v>
      </c>
      <c r="AE124" s="227">
        <f>SUM(AE104:AE122)</f>
        <v>0</v>
      </c>
      <c r="AJ124" s="154"/>
      <c r="AL124" s="150" t="s">
        <v>112</v>
      </c>
    </row>
    <row r="125" spans="3:42">
      <c r="D125" s="193"/>
      <c r="E125" s="154">
        <v>1350000</v>
      </c>
      <c r="H125" s="154"/>
      <c r="I125" s="154"/>
      <c r="K125" s="193">
        <v>210466616</v>
      </c>
      <c r="L125" s="154">
        <v>883437017</v>
      </c>
      <c r="M125" s="154">
        <v>157496882</v>
      </c>
      <c r="N125" s="154"/>
      <c r="O125" s="154"/>
      <c r="P125" s="154"/>
      <c r="Q125" s="154"/>
      <c r="R125" s="154"/>
      <c r="S125" s="154"/>
      <c r="T125" s="154"/>
      <c r="U125" s="154"/>
      <c r="W125" s="248"/>
      <c r="X125" s="248"/>
      <c r="Y125" s="248"/>
      <c r="Z125" s="248"/>
      <c r="AA125" s="154"/>
      <c r="AG125" s="154">
        <v>202787778</v>
      </c>
      <c r="AH125" s="154">
        <v>168013836</v>
      </c>
      <c r="AI125" s="154">
        <v>88797176</v>
      </c>
      <c r="AJ125" s="154">
        <v>287208700</v>
      </c>
      <c r="AP125" s="150" t="s">
        <v>108</v>
      </c>
    </row>
    <row r="126" spans="3:42">
      <c r="D126" s="193"/>
      <c r="E126" s="154">
        <v>27759800</v>
      </c>
      <c r="H126" s="154"/>
      <c r="I126" s="154"/>
      <c r="K126" s="193" t="e">
        <f ca="1">[3]!terbilang(K125)</f>
        <v>#NAME?</v>
      </c>
      <c r="L126" s="193" t="e">
        <f ca="1">[3]!terbilang(L125)</f>
        <v>#NAME?</v>
      </c>
      <c r="M126" s="193" t="e">
        <f ca="1">[3]!terbilang(M125)</f>
        <v>#NAME?</v>
      </c>
      <c r="N126" s="154"/>
      <c r="O126" s="154"/>
      <c r="P126" s="154"/>
      <c r="Q126" s="154"/>
      <c r="R126" s="154"/>
      <c r="S126" s="154"/>
      <c r="T126" s="154"/>
      <c r="U126" s="154"/>
      <c r="W126" s="154"/>
      <c r="X126" s="154"/>
      <c r="Y126" s="154"/>
      <c r="Z126" s="154"/>
      <c r="AA126" s="154"/>
      <c r="AB126" s="150" t="s">
        <v>112</v>
      </c>
      <c r="AD126" s="150" t="s">
        <v>415</v>
      </c>
      <c r="AF126" s="154">
        <v>1000000000</v>
      </c>
      <c r="AG126" s="154" t="e">
        <f ca="1">[3]!terbilang(AG125)</f>
        <v>#NAME?</v>
      </c>
      <c r="AH126" s="154" t="e">
        <f ca="1">[3]!terbilang(AH125)</f>
        <v>#NAME?</v>
      </c>
      <c r="AI126" s="154" t="e">
        <f ca="1">[3]!terbilang(AI125)</f>
        <v>#NAME?</v>
      </c>
      <c r="AJ126" s="154" t="e">
        <f ca="1">[3]!terbilang(AJ125)</f>
        <v>#NAME?</v>
      </c>
    </row>
    <row r="127" spans="3:42">
      <c r="C127" s="150"/>
      <c r="D127" s="154"/>
      <c r="E127" s="154">
        <v>27759800</v>
      </c>
      <c r="H127" s="154"/>
      <c r="I127" s="154"/>
      <c r="K127" s="193">
        <v>13153375</v>
      </c>
      <c r="L127" s="154">
        <v>11636742</v>
      </c>
      <c r="M127" s="154">
        <v>6384387</v>
      </c>
      <c r="N127" s="154"/>
      <c r="O127" s="154"/>
      <c r="P127" s="154"/>
      <c r="Q127" s="154"/>
      <c r="R127" s="154"/>
      <c r="S127" s="154"/>
      <c r="T127" s="154"/>
      <c r="U127" s="154"/>
      <c r="W127" s="248"/>
      <c r="X127" s="154"/>
      <c r="Y127" s="154"/>
      <c r="Z127" s="154"/>
      <c r="AA127" s="154"/>
      <c r="AE127" s="154">
        <v>160312320</v>
      </c>
      <c r="AF127" s="154" t="e">
        <f ca="1">[3]!terbilang(AF126)</f>
        <v>#NAME?</v>
      </c>
      <c r="AG127" s="154"/>
      <c r="AH127" s="154"/>
      <c r="AI127" s="154"/>
      <c r="AJ127" s="154"/>
    </row>
    <row r="128" spans="3:42">
      <c r="C128" s="150"/>
      <c r="D128" s="154"/>
      <c r="E128" s="154">
        <v>27759800</v>
      </c>
      <c r="G128" s="154">
        <v>2941161888</v>
      </c>
      <c r="H128" s="154"/>
      <c r="I128" s="154">
        <v>500000000</v>
      </c>
      <c r="J128" s="193"/>
      <c r="K128" s="193" t="e">
        <f ca="1">[3]!terbilang(K127)</f>
        <v>#NAME?</v>
      </c>
      <c r="L128" s="193" t="e">
        <f ca="1">[3]!terbilang(L127)</f>
        <v>#NAME?</v>
      </c>
      <c r="M128" s="193" t="e">
        <f ca="1">[3]!terbilang(M127)</f>
        <v>#NAME?</v>
      </c>
      <c r="N128" s="193"/>
      <c r="O128" s="193"/>
      <c r="P128" s="193"/>
      <c r="Q128" s="154"/>
      <c r="R128" s="154"/>
      <c r="S128" s="154"/>
      <c r="T128" s="154"/>
      <c r="U128" s="154"/>
      <c r="W128" s="154"/>
      <c r="X128" s="154"/>
      <c r="Y128" s="154"/>
      <c r="Z128" s="154"/>
      <c r="AA128" s="154"/>
      <c r="AC128" s="150" t="s">
        <v>111</v>
      </c>
      <c r="AE128" s="154" t="e">
        <f ca="1">[3]!terbilang(AE127)</f>
        <v>#NAME?</v>
      </c>
      <c r="AF128" s="154"/>
      <c r="AG128" s="154"/>
      <c r="AH128" s="154"/>
      <c r="AI128" s="154"/>
      <c r="AJ128" s="154"/>
    </row>
    <row r="129" spans="3:36">
      <c r="D129" s="193"/>
      <c r="F129" s="219"/>
      <c r="G129" s="154" t="e">
        <f ca="1">[3]!terbilang(G128)</f>
        <v>#NAME?</v>
      </c>
      <c r="H129" s="154">
        <v>43053981</v>
      </c>
      <c r="I129" s="154" t="e">
        <f ca="1">[3]!terbilang(I128)</f>
        <v>#NAME?</v>
      </c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W129" s="154"/>
      <c r="X129" s="154"/>
      <c r="Y129" s="248" t="e">
        <f ca="1">[3]!terbilang(Y126)</f>
        <v>#NAME?</v>
      </c>
      <c r="Z129" s="154" t="s">
        <v>111</v>
      </c>
      <c r="AA129" s="154"/>
      <c r="AE129" s="154">
        <v>17329877</v>
      </c>
      <c r="AF129" s="154"/>
      <c r="AG129" s="154"/>
      <c r="AH129" s="154"/>
      <c r="AI129" s="154"/>
      <c r="AJ129" s="154"/>
    </row>
    <row r="130" spans="3:36">
      <c r="G130" s="154"/>
      <c r="H130" s="193" t="e">
        <f ca="1">[3]!terbilang(H129)</f>
        <v>#NAME?</v>
      </c>
      <c r="I130" s="193">
        <v>1089999</v>
      </c>
      <c r="J130" s="193"/>
      <c r="K130" s="193"/>
      <c r="L130" s="401" t="s">
        <v>547</v>
      </c>
      <c r="M130" s="401"/>
      <c r="N130" s="401"/>
      <c r="O130" s="154"/>
      <c r="P130" s="401" t="s">
        <v>564</v>
      </c>
      <c r="Q130" s="401"/>
      <c r="R130" s="401"/>
      <c r="S130" s="154"/>
      <c r="T130" s="154"/>
      <c r="U130" s="154"/>
      <c r="W130" s="248"/>
      <c r="X130" s="248"/>
      <c r="Y130" s="154"/>
      <c r="Z130" s="154"/>
      <c r="AA130" s="154"/>
      <c r="AE130" s="154" t="e">
        <f ca="1">[3]!terbilang(AE129)</f>
        <v>#NAME?</v>
      </c>
      <c r="AF130" s="154"/>
      <c r="AG130" s="154"/>
      <c r="AH130" s="154"/>
      <c r="AI130" s="154"/>
      <c r="AJ130" s="154"/>
    </row>
    <row r="131" spans="3:36">
      <c r="G131" s="154"/>
      <c r="H131" s="154"/>
      <c r="I131" s="154"/>
      <c r="J131" s="154"/>
      <c r="K131" s="154"/>
      <c r="L131" s="176" t="s">
        <v>230</v>
      </c>
      <c r="M131" s="176" t="s">
        <v>444</v>
      </c>
      <c r="N131" s="176" t="s">
        <v>445</v>
      </c>
      <c r="O131" s="154"/>
      <c r="P131" s="176" t="s">
        <v>230</v>
      </c>
      <c r="Q131" s="176" t="s">
        <v>444</v>
      </c>
      <c r="R131" s="176" t="s">
        <v>445</v>
      </c>
      <c r="S131" s="154"/>
      <c r="T131" s="154"/>
      <c r="U131" s="154"/>
      <c r="W131" s="154"/>
      <c r="X131" s="154"/>
      <c r="Y131" s="248" t="e">
        <f ca="1">[3]!terbilang(Y130)</f>
        <v>#NAME?</v>
      </c>
      <c r="Z131" s="248"/>
      <c r="AA131" s="154"/>
      <c r="AB131" s="154"/>
      <c r="AE131" s="154"/>
      <c r="AF131" s="154"/>
      <c r="AG131" s="154"/>
      <c r="AH131" s="154"/>
      <c r="AI131" s="154"/>
      <c r="AJ131" s="154"/>
    </row>
    <row r="132" spans="3:36">
      <c r="D132" s="193">
        <v>19728786</v>
      </c>
      <c r="E132" s="154">
        <v>1034901743</v>
      </c>
      <c r="F132" s="154">
        <v>5893190</v>
      </c>
      <c r="G132" s="154"/>
      <c r="H132" s="193"/>
      <c r="I132" s="154"/>
      <c r="J132" s="154"/>
      <c r="K132" s="154"/>
      <c r="L132" s="176" t="s">
        <v>548</v>
      </c>
      <c r="M132" s="176" t="s">
        <v>549</v>
      </c>
      <c r="N132" s="176">
        <v>60794473</v>
      </c>
      <c r="P132" s="176" t="s">
        <v>565</v>
      </c>
      <c r="Q132" s="176" t="s">
        <v>566</v>
      </c>
      <c r="R132" s="176">
        <v>7500000</v>
      </c>
      <c r="S132" s="154"/>
      <c r="T132" s="154"/>
      <c r="U132" s="154"/>
      <c r="W132" s="248"/>
      <c r="X132" s="248"/>
      <c r="Z132" s="154"/>
      <c r="AA132" s="154"/>
      <c r="AB132" s="154"/>
      <c r="AE132" s="154"/>
      <c r="AF132" s="154"/>
      <c r="AG132" s="154"/>
      <c r="AH132" s="154"/>
      <c r="AI132" s="154"/>
      <c r="AJ132" s="154"/>
    </row>
    <row r="133" spans="3:36">
      <c r="D133" s="193" t="e">
        <f ca="1">[3]!terbilang(D132)</f>
        <v>#NAME?</v>
      </c>
      <c r="E133" s="193" t="e">
        <f ca="1">[3]!terbilang(E132)</f>
        <v>#NAME?</v>
      </c>
      <c r="F133" s="193" t="e">
        <f ca="1">[3]!terbilang(F132)</f>
        <v>#NAME?</v>
      </c>
      <c r="G133" s="154"/>
      <c r="H133" s="154"/>
      <c r="I133" s="154"/>
      <c r="J133" s="154"/>
      <c r="K133" s="154"/>
      <c r="L133" s="176" t="s">
        <v>548</v>
      </c>
      <c r="M133" s="176" t="s">
        <v>550</v>
      </c>
      <c r="N133" s="176">
        <v>7848418</v>
      </c>
      <c r="P133" s="176"/>
      <c r="Q133" s="176"/>
      <c r="R133" s="176"/>
      <c r="S133" s="154"/>
      <c r="T133" s="154"/>
      <c r="U133" s="154"/>
      <c r="X133" s="154"/>
      <c r="Z133" s="154"/>
      <c r="AA133" s="154">
        <v>3234511</v>
      </c>
      <c r="AB133" s="154">
        <v>13252700</v>
      </c>
      <c r="AC133" s="154">
        <v>769293798</v>
      </c>
      <c r="AD133" s="154">
        <v>885963</v>
      </c>
      <c r="AE133" s="154"/>
      <c r="AF133" s="154"/>
      <c r="AG133" s="154"/>
      <c r="AH133" s="154"/>
      <c r="AI133" s="154"/>
      <c r="AJ133" s="154"/>
    </row>
    <row r="134" spans="3:36">
      <c r="D134" s="193">
        <v>4129058445</v>
      </c>
      <c r="E134" s="193">
        <v>2729643584</v>
      </c>
      <c r="F134" s="193">
        <v>40485394</v>
      </c>
      <c r="G134" s="193">
        <v>8845339</v>
      </c>
      <c r="H134" s="193"/>
      <c r="I134" s="154"/>
      <c r="J134" s="154"/>
      <c r="K134" s="154"/>
      <c r="L134" s="176" t="s">
        <v>551</v>
      </c>
      <c r="M134" s="169" t="s">
        <v>552</v>
      </c>
      <c r="N134" s="176">
        <v>9685742</v>
      </c>
      <c r="P134" s="176"/>
      <c r="Q134" s="169"/>
      <c r="R134" s="176"/>
      <c r="W134" s="154"/>
      <c r="X134" s="154">
        <v>30000</v>
      </c>
      <c r="Z134" s="154"/>
      <c r="AA134" s="154" t="str">
        <f>[4]!TERBILANG(AA133)</f>
        <v xml:space="preserve">Tiga Juta Duaratus Tigapuluh Empat Ribu Limaratus Sebelas </v>
      </c>
      <c r="AB134" s="154" t="e">
        <f ca="1">[3]!terbilang(AB133)</f>
        <v>#NAME?</v>
      </c>
      <c r="AC134" s="154" t="e">
        <f ca="1">[3]!terbilang(AC133)</f>
        <v>#NAME?</v>
      </c>
      <c r="AD134" s="154" t="e">
        <f ca="1">[3]!terbilang(AD133)</f>
        <v>#NAME?</v>
      </c>
      <c r="AE134" s="154" t="e">
        <f ca="1">[3]!terbilang(AE133)</f>
        <v>#NAME?</v>
      </c>
      <c r="AF134" s="154"/>
      <c r="AG134" s="154"/>
      <c r="AH134" s="154"/>
      <c r="AI134" s="154"/>
      <c r="AJ134" s="154"/>
    </row>
    <row r="135" spans="3:36">
      <c r="D135" s="193" t="e">
        <f ca="1">[3]!terbilang(D134)</f>
        <v>#NAME?</v>
      </c>
      <c r="E135" s="193" t="e">
        <f ca="1">[3]!terbilang(E134)</f>
        <v>#NAME?</v>
      </c>
      <c r="F135" s="193" t="e">
        <f ca="1">[3]!terbilang(F134)</f>
        <v>#NAME?</v>
      </c>
      <c r="G135" s="193" t="e">
        <f ca="1">[3]!terbilang(G134)</f>
        <v>#NAME?</v>
      </c>
      <c r="H135" s="154"/>
      <c r="I135" s="154"/>
      <c r="J135" s="193"/>
      <c r="K135" s="193"/>
      <c r="L135" s="176" t="s">
        <v>551</v>
      </c>
      <c r="M135" s="169" t="s">
        <v>553</v>
      </c>
      <c r="N135" s="176">
        <v>102022038</v>
      </c>
      <c r="P135" s="176"/>
      <c r="Q135" s="169"/>
      <c r="R135" s="176"/>
      <c r="T135" s="154"/>
      <c r="W135" s="248"/>
      <c r="X135" s="248" t="e">
        <f ca="1">[3]!terbilang(X134)</f>
        <v>#NAME?</v>
      </c>
      <c r="Z135" s="154"/>
      <c r="AA135" s="154">
        <v>2249999</v>
      </c>
      <c r="AB135" s="154">
        <v>1030905</v>
      </c>
      <c r="AC135" s="154">
        <v>723270</v>
      </c>
      <c r="AD135" s="154">
        <v>711511</v>
      </c>
      <c r="AF135" s="154"/>
    </row>
    <row r="136" spans="3:36">
      <c r="D136" s="193">
        <v>59202460</v>
      </c>
      <c r="E136" s="193"/>
      <c r="F136" s="193"/>
      <c r="G136" s="193"/>
      <c r="H136" s="193"/>
      <c r="I136" s="154"/>
      <c r="J136" s="154"/>
      <c r="K136" s="154"/>
      <c r="L136" s="176" t="s">
        <v>554</v>
      </c>
      <c r="M136" s="169" t="s">
        <v>555</v>
      </c>
      <c r="N136" s="176">
        <v>880500</v>
      </c>
      <c r="P136" s="176"/>
      <c r="Q136" s="169"/>
      <c r="R136" s="176"/>
      <c r="T136" s="154"/>
      <c r="W136" s="154"/>
      <c r="X136" s="154">
        <v>3987154343</v>
      </c>
      <c r="Z136" s="154"/>
      <c r="AA136" s="154" t="e">
        <f ca="1">[3]!terbilang(AA135)</f>
        <v>#NAME?</v>
      </c>
      <c r="AB136" s="154" t="e">
        <f ca="1">[3]!terbilang(AB135)</f>
        <v>#NAME?</v>
      </c>
      <c r="AC136" s="154" t="e">
        <f ca="1">[3]!terbilang(AC135)</f>
        <v>#NAME?</v>
      </c>
      <c r="AD136" s="154" t="e">
        <f ca="1">[3]!terbilang(AD135)</f>
        <v>#NAME?</v>
      </c>
      <c r="AE136" s="154" t="e">
        <f ca="1">[3]!terbilang(AE135)</f>
        <v>#NAME?</v>
      </c>
    </row>
    <row r="137" spans="3:36">
      <c r="C137" s="150"/>
      <c r="D137" s="193" t="e">
        <f ca="1">[3]!terbilang(D136)</f>
        <v>#NAME?</v>
      </c>
      <c r="E137" s="193" t="e">
        <f ca="1">[3]!terbilang(E136)</f>
        <v>#NAME?</v>
      </c>
      <c r="F137" s="193" t="e">
        <f ca="1">[3]!terbilang(F136)</f>
        <v>#NAME?</v>
      </c>
      <c r="G137" s="193" t="e">
        <f ca="1">[3]!terbilang(G136)</f>
        <v>#NAME?</v>
      </c>
      <c r="H137" s="154"/>
      <c r="I137" s="154"/>
      <c r="J137" s="193"/>
      <c r="K137" s="193"/>
      <c r="L137" s="176" t="s">
        <v>556</v>
      </c>
      <c r="M137" s="169" t="s">
        <v>557</v>
      </c>
      <c r="N137" s="176">
        <v>2200000</v>
      </c>
      <c r="P137" s="176"/>
      <c r="Q137" s="169"/>
      <c r="R137" s="176"/>
      <c r="T137" s="154"/>
      <c r="W137" s="248"/>
      <c r="X137" s="248" t="e">
        <f ca="1">[3]!terbilang(X136)</f>
        <v>#NAME?</v>
      </c>
      <c r="Z137" s="154"/>
      <c r="AA137" s="154">
        <v>1134000</v>
      </c>
      <c r="AB137" s="154"/>
      <c r="AC137" s="154"/>
      <c r="AD137" s="154"/>
      <c r="AG137" s="154"/>
      <c r="AH137" s="154"/>
    </row>
    <row r="138" spans="3:36">
      <c r="C138" s="150"/>
      <c r="D138" s="193"/>
      <c r="E138" s="193"/>
      <c r="F138" s="193"/>
      <c r="G138" s="193"/>
      <c r="H138" s="154"/>
      <c r="I138" s="154"/>
      <c r="J138" s="154"/>
      <c r="K138" s="154"/>
      <c r="L138" s="176" t="s">
        <v>558</v>
      </c>
      <c r="M138" s="169" t="s">
        <v>559</v>
      </c>
      <c r="N138" s="176">
        <v>2500000</v>
      </c>
      <c r="P138" s="176"/>
      <c r="Q138" s="169"/>
      <c r="R138" s="176"/>
      <c r="T138" s="154"/>
      <c r="W138" s="154"/>
      <c r="X138" s="154"/>
      <c r="AA138" s="154" t="e">
        <f ca="1">[3]!terbilang(AA137)</f>
        <v>#NAME?</v>
      </c>
      <c r="AB138" s="154" t="e">
        <f ca="1">[3]!terbilang(AB137)</f>
        <v>#NAME?</v>
      </c>
      <c r="AC138" s="154" t="e">
        <f ca="1">[3]!terbilang(AC137)</f>
        <v>#NAME?</v>
      </c>
      <c r="AD138" s="154" t="e">
        <f ca="1">[3]!terbilang(AD137)</f>
        <v>#NAME?</v>
      </c>
      <c r="AE138" s="154" t="e">
        <f ca="1">[3]!terbilang(AE137)</f>
        <v>#NAME?</v>
      </c>
      <c r="AF138" s="154"/>
      <c r="AG138" s="154"/>
      <c r="AH138" s="154"/>
    </row>
    <row r="139" spans="3:36">
      <c r="C139" s="150"/>
      <c r="D139" s="193"/>
      <c r="E139" s="193"/>
      <c r="F139" s="193"/>
      <c r="G139" s="193"/>
      <c r="H139" s="154"/>
      <c r="I139" s="154"/>
      <c r="J139" s="154"/>
      <c r="K139" s="154"/>
      <c r="L139" s="176" t="s">
        <v>560</v>
      </c>
      <c r="M139" s="169" t="s">
        <v>561</v>
      </c>
      <c r="N139" s="176">
        <v>4086600</v>
      </c>
      <c r="P139" s="176"/>
      <c r="Q139" s="169"/>
      <c r="R139" s="176"/>
      <c r="T139" s="154"/>
      <c r="W139" s="154"/>
      <c r="X139" s="154"/>
      <c r="Z139" s="154"/>
      <c r="AA139" s="154"/>
      <c r="AB139" s="154"/>
      <c r="AC139" s="154"/>
      <c r="AD139" s="154"/>
      <c r="AG139" s="154"/>
      <c r="AH139" s="154"/>
    </row>
    <row r="140" spans="3:36">
      <c r="C140" s="150"/>
      <c r="D140" s="193"/>
      <c r="E140" s="193"/>
      <c r="F140" s="193"/>
      <c r="G140" s="193"/>
      <c r="H140" s="154" t="s">
        <v>111</v>
      </c>
      <c r="I140" s="154"/>
      <c r="J140" s="154"/>
      <c r="K140" s="154"/>
      <c r="L140" s="176" t="s">
        <v>469</v>
      </c>
      <c r="M140" s="169" t="s">
        <v>561</v>
      </c>
      <c r="N140" s="176">
        <v>3690000</v>
      </c>
      <c r="P140" s="176"/>
      <c r="Q140" s="169"/>
      <c r="R140" s="176"/>
      <c r="T140" s="154"/>
      <c r="W140" s="154"/>
      <c r="X140" s="154"/>
      <c r="AA140" s="154"/>
      <c r="AB140" s="154"/>
      <c r="AC140" s="154"/>
      <c r="AD140" s="154"/>
      <c r="AG140" s="154"/>
      <c r="AH140" s="154"/>
    </row>
    <row r="141" spans="3:36">
      <c r="C141" s="150"/>
      <c r="D141" s="193" t="s">
        <v>544</v>
      </c>
      <c r="E141" s="154"/>
      <c r="F141" s="154"/>
      <c r="G141" s="154"/>
      <c r="H141" s="154"/>
      <c r="I141" s="154"/>
      <c r="J141" s="193"/>
      <c r="K141" s="193"/>
      <c r="L141" s="176" t="s">
        <v>471</v>
      </c>
      <c r="M141" s="169" t="s">
        <v>561</v>
      </c>
      <c r="N141" s="176">
        <v>3690000</v>
      </c>
      <c r="P141" s="176"/>
      <c r="Q141" s="169"/>
      <c r="R141" s="176"/>
      <c r="T141" s="154"/>
      <c r="V141" s="185"/>
      <c r="W141" s="248"/>
      <c r="X141" s="248" t="e">
        <f ca="1">[3]!terbilang(X138)</f>
        <v>#NAME?</v>
      </c>
      <c r="Z141" s="154"/>
      <c r="AA141" s="154"/>
      <c r="AB141" s="154"/>
      <c r="AC141" s="154"/>
      <c r="AD141" s="154"/>
      <c r="AG141" s="154"/>
      <c r="AH141" s="154"/>
    </row>
    <row r="142" spans="3:36">
      <c r="C142" s="150"/>
      <c r="D142" s="193" t="s">
        <v>543</v>
      </c>
      <c r="E142" s="154"/>
      <c r="F142" s="154"/>
      <c r="G142" s="154"/>
      <c r="H142" s="154"/>
      <c r="I142" s="154"/>
      <c r="K142" s="193"/>
      <c r="L142" s="176" t="s">
        <v>562</v>
      </c>
      <c r="M142" s="169" t="s">
        <v>561</v>
      </c>
      <c r="N142" s="176">
        <v>7905800</v>
      </c>
      <c r="P142" s="176"/>
      <c r="Q142" s="169"/>
      <c r="R142" s="176"/>
      <c r="T142" s="154"/>
      <c r="W142" s="154"/>
      <c r="X142" s="154"/>
      <c r="AA142" s="154"/>
      <c r="AB142" s="154"/>
      <c r="AC142" s="154"/>
      <c r="AD142" s="154"/>
      <c r="AE142" s="154"/>
      <c r="AF142" s="154"/>
      <c r="AG142" s="154"/>
      <c r="AH142" s="154"/>
    </row>
    <row r="143" spans="3:36">
      <c r="C143" s="150"/>
      <c r="D143" s="193" t="s">
        <v>542</v>
      </c>
      <c r="E143" s="154"/>
      <c r="F143" s="154"/>
      <c r="G143" s="154"/>
      <c r="H143" s="154"/>
      <c r="J143" s="154"/>
      <c r="K143" s="154"/>
      <c r="L143" s="227" t="s">
        <v>563</v>
      </c>
      <c r="M143" s="192"/>
      <c r="N143" s="227">
        <f>SUM(N132:N142)</f>
        <v>205303571</v>
      </c>
      <c r="P143" s="227" t="s">
        <v>563</v>
      </c>
      <c r="Q143" s="192"/>
      <c r="R143" s="227">
        <f>SUM(R132:R142)</f>
        <v>7500000</v>
      </c>
      <c r="T143" s="154"/>
      <c r="W143" s="248"/>
      <c r="X143" s="248" t="e">
        <f ca="1">[3]!terbilang(X142)</f>
        <v>#NAME?</v>
      </c>
      <c r="Z143" s="154"/>
      <c r="AA143" s="248"/>
      <c r="AB143" s="154"/>
      <c r="AC143" s="154"/>
      <c r="AD143" s="154"/>
      <c r="AF143" s="154"/>
      <c r="AG143" s="154"/>
      <c r="AH143" s="154"/>
    </row>
    <row r="144" spans="3:36">
      <c r="C144" s="150"/>
      <c r="D144" s="193"/>
      <c r="E144" s="193"/>
      <c r="F144" s="193"/>
      <c r="G144" s="193"/>
      <c r="H144" s="154"/>
      <c r="J144" s="193"/>
      <c r="K144" s="193"/>
      <c r="L144" s="154"/>
      <c r="N144" s="154"/>
      <c r="P144" s="154"/>
      <c r="Q144" s="154"/>
      <c r="R144" s="154"/>
      <c r="T144" s="154"/>
      <c r="Z144" s="154"/>
      <c r="AA144" s="154"/>
      <c r="AB144" s="154"/>
      <c r="AC144" s="154" t="s">
        <v>111</v>
      </c>
      <c r="AD144" s="154"/>
      <c r="AE144" s="154"/>
      <c r="AF144" s="154"/>
      <c r="AG144" s="154"/>
      <c r="AH144" s="154"/>
    </row>
    <row r="145" spans="3:34">
      <c r="C145" s="150"/>
      <c r="D145" s="193"/>
      <c r="E145" s="154"/>
      <c r="F145" s="154"/>
      <c r="G145" s="154"/>
      <c r="H145" s="154"/>
      <c r="J145" s="193"/>
      <c r="K145" s="193"/>
      <c r="L145" s="154"/>
      <c r="N145" s="154"/>
      <c r="P145" s="154"/>
      <c r="Q145" s="154"/>
      <c r="R145" s="154"/>
      <c r="T145" s="154"/>
      <c r="V145" s="185"/>
      <c r="X145" s="154"/>
      <c r="Z145" s="154"/>
      <c r="AA145" s="154"/>
      <c r="AB145" s="154"/>
      <c r="AC145" s="154"/>
      <c r="AD145" s="154"/>
      <c r="AG145" s="154"/>
      <c r="AH145" s="154"/>
    </row>
    <row r="146" spans="3:34">
      <c r="C146" s="150"/>
      <c r="D146" s="193"/>
      <c r="E146" s="193"/>
      <c r="F146" s="193"/>
      <c r="G146" s="193"/>
      <c r="H146" s="154"/>
      <c r="I146" s="154">
        <v>300966517</v>
      </c>
      <c r="J146" s="193"/>
      <c r="K146" s="193"/>
      <c r="N146" s="154"/>
      <c r="R146" s="185"/>
      <c r="T146" s="154">
        <v>17918111</v>
      </c>
      <c r="U146" s="154">
        <v>341302299</v>
      </c>
      <c r="V146" s="154">
        <v>25665603</v>
      </c>
      <c r="W146" s="154">
        <v>261252810</v>
      </c>
      <c r="Z146" s="154"/>
      <c r="AA146" s="154"/>
      <c r="AB146" s="154"/>
      <c r="AC146" s="154"/>
      <c r="AD146" s="154"/>
      <c r="AE146" s="154"/>
      <c r="AF146" s="154"/>
    </row>
    <row r="147" spans="3:34">
      <c r="C147" s="150"/>
      <c r="D147" s="193" t="s">
        <v>545</v>
      </c>
      <c r="E147" s="154"/>
      <c r="F147" s="154"/>
      <c r="G147" s="154"/>
      <c r="H147" s="154">
        <v>8845339</v>
      </c>
      <c r="I147" s="154"/>
      <c r="J147" s="193"/>
      <c r="K147" s="193"/>
      <c r="N147" s="154"/>
      <c r="R147" s="185">
        <v>44545</v>
      </c>
      <c r="S147" s="150" t="s">
        <v>112</v>
      </c>
      <c r="T147" s="154" t="e">
        <f ca="1">[3]!terbilang(T146)</f>
        <v>#NAME?</v>
      </c>
      <c r="U147" s="154" t="e">
        <f ca="1">[3]!terbilang(U146)</f>
        <v>#NAME?</v>
      </c>
      <c r="V147" s="154" t="e">
        <f ca="1">[3]!terbilang(V146)</f>
        <v>#NAME?</v>
      </c>
      <c r="W147" s="154" t="e">
        <f ca="1">[3]!terbilang(W146)</f>
        <v>#NAME?</v>
      </c>
      <c r="AA147" s="154"/>
      <c r="AB147" s="154"/>
      <c r="AC147" s="154"/>
      <c r="AD147" s="154"/>
    </row>
    <row r="148" spans="3:34">
      <c r="C148" s="150"/>
      <c r="D148" s="193"/>
      <c r="E148" s="154"/>
      <c r="F148" s="154"/>
      <c r="G148" s="154"/>
      <c r="H148" s="154">
        <v>59202460</v>
      </c>
      <c r="I148" s="154"/>
      <c r="J148" s="193"/>
      <c r="K148" s="193"/>
      <c r="N148" s="154"/>
      <c r="R148" s="185">
        <v>44545</v>
      </c>
      <c r="T148" s="154">
        <v>1511997635</v>
      </c>
      <c r="U148" s="154">
        <v>29879123</v>
      </c>
      <c r="AA148" s="154"/>
      <c r="AB148" s="154"/>
      <c r="AC148" s="154"/>
      <c r="AD148" s="154"/>
    </row>
    <row r="149" spans="3:34">
      <c r="C149" s="150"/>
      <c r="D149" s="193"/>
      <c r="E149" s="154"/>
      <c r="F149" s="154"/>
      <c r="G149" s="154"/>
      <c r="H149" s="154">
        <v>14400000</v>
      </c>
      <c r="I149" s="154"/>
      <c r="J149" s="193"/>
      <c r="K149" s="193"/>
      <c r="T149" s="154" t="e">
        <f ca="1">[3]!terbilang(T148)</f>
        <v>#NAME?</v>
      </c>
      <c r="U149" s="154" t="e">
        <f ca="1">[3]!terbilang(U148)</f>
        <v>#NAME?</v>
      </c>
      <c r="V149" s="154" t="e">
        <f ca="1">[3]!terbilang(V148)</f>
        <v>#NAME?</v>
      </c>
      <c r="AA149" s="154"/>
      <c r="AB149" s="154"/>
      <c r="AC149" s="154"/>
      <c r="AD149" s="154"/>
    </row>
    <row r="150" spans="3:34">
      <c r="C150" s="150"/>
      <c r="D150" s="193"/>
      <c r="E150" s="193"/>
      <c r="F150" s="193"/>
      <c r="G150" s="193"/>
      <c r="H150" s="154">
        <v>9735803</v>
      </c>
      <c r="I150" s="154"/>
      <c r="R150" s="185"/>
      <c r="AD150" s="154"/>
    </row>
    <row r="151" spans="3:34">
      <c r="C151" s="150"/>
      <c r="D151" s="193"/>
      <c r="E151" s="154"/>
      <c r="F151" s="154"/>
      <c r="G151" s="154"/>
      <c r="H151" s="154">
        <v>102022038</v>
      </c>
      <c r="I151" s="154"/>
      <c r="P151" s="154">
        <v>4106460522</v>
      </c>
      <c r="Q151" s="154">
        <v>44592144</v>
      </c>
      <c r="R151" s="154">
        <v>45577000</v>
      </c>
      <c r="S151" s="154">
        <v>4927592872</v>
      </c>
      <c r="T151" s="154"/>
      <c r="AA151" s="154"/>
      <c r="AB151" s="154"/>
      <c r="AC151" s="154"/>
    </row>
    <row r="152" spans="3:34">
      <c r="C152" s="150"/>
      <c r="D152" s="193"/>
      <c r="E152" s="193"/>
      <c r="F152" s="193"/>
      <c r="G152" s="193"/>
      <c r="H152" s="154">
        <v>43801144</v>
      </c>
      <c r="I152" s="154"/>
      <c r="P152" s="154" t="e">
        <f ca="1">[3]!terbilang(P151)</f>
        <v>#NAME?</v>
      </c>
      <c r="Q152" s="154" t="e">
        <f ca="1">[3]!terbilang(Q151)</f>
        <v>#NAME?</v>
      </c>
      <c r="R152" s="154" t="e">
        <f ca="1">[3]!terbilang(R151)</f>
        <v>#NAME?</v>
      </c>
      <c r="S152" s="154" t="e">
        <f ca="1">[3]!terbilang(S151)</f>
        <v>#NAME?</v>
      </c>
      <c r="T152" s="154"/>
      <c r="AD152" s="154"/>
    </row>
    <row r="153" spans="3:34">
      <c r="C153" s="150"/>
      <c r="D153" s="193"/>
      <c r="E153" s="154"/>
      <c r="F153" s="154"/>
      <c r="G153" s="154"/>
      <c r="H153" s="154">
        <v>408494</v>
      </c>
      <c r="I153" s="154"/>
      <c r="P153" s="154">
        <v>66646125</v>
      </c>
      <c r="Q153" s="154"/>
      <c r="R153" s="154"/>
      <c r="S153" s="154"/>
      <c r="T153" s="154"/>
      <c r="Y153" s="154"/>
      <c r="Z153" s="154"/>
      <c r="AA153" s="154"/>
      <c r="AB153" s="154"/>
      <c r="AC153" s="154"/>
    </row>
    <row r="154" spans="3:34">
      <c r="C154" s="150"/>
      <c r="D154" s="193"/>
      <c r="E154" s="154"/>
      <c r="F154" s="154"/>
      <c r="G154" s="154"/>
      <c r="H154" s="154"/>
      <c r="I154" s="154">
        <f>SUM(H147:H153)</f>
        <v>238415278</v>
      </c>
      <c r="P154" s="154" t="e">
        <f ca="1">[3]!terbilang(P153)</f>
        <v>#NAME?</v>
      </c>
      <c r="Q154" s="154" t="e">
        <f ca="1">[3]!terbilang(Q153)</f>
        <v>#NAME?</v>
      </c>
      <c r="R154" s="154" t="e">
        <f ca="1">[3]!terbilang(R153)</f>
        <v>#NAME?</v>
      </c>
      <c r="S154" s="154" t="e">
        <f ca="1">[3]!terbilang(S153)</f>
        <v>#NAME?</v>
      </c>
      <c r="T154" s="154"/>
      <c r="Y154" s="154"/>
      <c r="Z154" s="154"/>
      <c r="AB154" s="154"/>
      <c r="AC154" s="154"/>
      <c r="AD154" s="154"/>
    </row>
    <row r="155" spans="3:34">
      <c r="C155" s="150"/>
      <c r="D155" s="193"/>
      <c r="E155" s="193"/>
      <c r="F155" s="193"/>
      <c r="G155" s="193"/>
      <c r="H155" s="154"/>
      <c r="I155" s="154"/>
      <c r="J155" s="218">
        <f>I146-I154</f>
        <v>62551239</v>
      </c>
      <c r="P155" s="154"/>
      <c r="Q155" s="154"/>
      <c r="R155" s="154"/>
      <c r="S155" s="154"/>
      <c r="T155" s="154"/>
      <c r="Y155" s="154"/>
      <c r="Z155" s="154"/>
      <c r="AA155" s="154"/>
      <c r="AB155" s="154"/>
      <c r="AC155" s="154"/>
      <c r="AD155" s="154"/>
    </row>
    <row r="156" spans="3:34">
      <c r="C156" s="150"/>
      <c r="D156" s="154"/>
      <c r="E156" s="154"/>
      <c r="F156" s="154"/>
      <c r="G156" s="154"/>
      <c r="H156" s="154"/>
      <c r="I156" s="154"/>
      <c r="P156" s="154" t="e">
        <f ca="1">[3]!terbilang(P155)</f>
        <v>#NAME?</v>
      </c>
      <c r="Q156" s="154" t="e">
        <f ca="1">[3]!terbilang(Q155)</f>
        <v>#NAME?</v>
      </c>
      <c r="R156" s="154" t="e">
        <f ca="1">[3]!terbilang(R155)</f>
        <v>#NAME?</v>
      </c>
      <c r="S156" s="154" t="e">
        <f ca="1">[3]!terbilang(S155)</f>
        <v>#NAME?</v>
      </c>
      <c r="T156" s="154"/>
      <c r="Y156" s="154"/>
      <c r="Z156" s="154"/>
      <c r="AA156" s="154"/>
      <c r="AB156" s="154"/>
      <c r="AC156" s="154"/>
      <c r="AD156" s="154"/>
    </row>
    <row r="157" spans="3:34">
      <c r="C157" s="150"/>
      <c r="D157" s="154"/>
      <c r="E157" s="154"/>
      <c r="F157" s="154"/>
      <c r="G157" s="154"/>
      <c r="H157" s="154"/>
      <c r="I157" s="154"/>
      <c r="P157" s="154"/>
      <c r="Q157" s="154"/>
      <c r="R157" s="154"/>
      <c r="S157" s="154"/>
      <c r="T157" s="154"/>
      <c r="Y157" s="154"/>
      <c r="Z157" s="154"/>
      <c r="AA157" s="154"/>
      <c r="AB157" s="154"/>
      <c r="AC157" s="154"/>
      <c r="AD157" s="154"/>
    </row>
    <row r="158" spans="3:34">
      <c r="C158" s="150"/>
      <c r="D158" s="193"/>
      <c r="E158" s="193"/>
      <c r="F158" s="193"/>
      <c r="G158" s="193"/>
      <c r="H158" s="154"/>
      <c r="I158" s="154"/>
      <c r="P158" s="154" t="e">
        <f ca="1">[3]!terbilang(P157)</f>
        <v>#NAME?</v>
      </c>
      <c r="Q158" s="154" t="e">
        <f ca="1">[3]!terbilang(Q157)</f>
        <v>#NAME?</v>
      </c>
      <c r="R158" s="154" t="e">
        <f ca="1">[3]!terbilang(R157)</f>
        <v>#NAME?</v>
      </c>
      <c r="S158" s="154" t="e">
        <f ca="1">[3]!terbilang(S157)</f>
        <v>#NAME?</v>
      </c>
      <c r="T158" s="154"/>
      <c r="Y158" s="154"/>
      <c r="Z158" s="154"/>
      <c r="AA158" s="154"/>
      <c r="AB158" s="154"/>
      <c r="AC158" s="154"/>
      <c r="AD158" s="154"/>
    </row>
    <row r="159" spans="3:34">
      <c r="C159" s="150"/>
      <c r="D159" s="154"/>
      <c r="E159" s="154"/>
      <c r="F159" s="154"/>
      <c r="G159" s="154"/>
      <c r="H159" s="154"/>
      <c r="J159" s="150"/>
      <c r="K159" s="150"/>
      <c r="P159" s="154">
        <v>1084905</v>
      </c>
      <c r="Q159" s="154">
        <v>704452</v>
      </c>
      <c r="R159" s="154">
        <v>1080000</v>
      </c>
      <c r="S159" s="154">
        <v>600739</v>
      </c>
      <c r="T159" s="154"/>
      <c r="Y159" s="154"/>
      <c r="Z159" s="154"/>
      <c r="AA159" s="154"/>
      <c r="AB159" s="154"/>
      <c r="AC159" s="154"/>
      <c r="AD159" s="154">
        <v>1870843551</v>
      </c>
      <c r="AE159" s="154"/>
    </row>
    <row r="160" spans="3:34">
      <c r="C160" s="150"/>
      <c r="D160" s="193"/>
      <c r="E160" s="193"/>
      <c r="F160" s="193"/>
      <c r="G160" s="193"/>
      <c r="J160" s="150"/>
      <c r="K160" s="150"/>
      <c r="P160" s="154" t="e">
        <f ca="1">[3]!terbilang(P159)</f>
        <v>#NAME?</v>
      </c>
      <c r="Q160" s="154" t="e">
        <f ca="1">[3]!terbilang(Q159)</f>
        <v>#NAME?</v>
      </c>
      <c r="R160" s="154" t="e">
        <f ca="1">[3]!terbilang(R159)</f>
        <v>#NAME?</v>
      </c>
      <c r="S160" s="154" t="e">
        <f ca="1">[3]!terbilang(S159)</f>
        <v>#NAME?</v>
      </c>
      <c r="T160" s="154"/>
      <c r="Y160" s="154"/>
      <c r="Z160" s="154"/>
      <c r="AA160" s="154"/>
      <c r="AB160" s="154"/>
      <c r="AC160" s="154"/>
      <c r="AD160" s="154" t="e">
        <f ca="1">[3]!terbilang(AD159)</f>
        <v>#NAME?</v>
      </c>
      <c r="AE160" s="154"/>
    </row>
    <row r="161" spans="3:31">
      <c r="C161" s="150"/>
      <c r="D161" s="154"/>
      <c r="E161" s="154"/>
      <c r="F161" s="154"/>
      <c r="G161" s="154"/>
      <c r="H161" s="154"/>
      <c r="J161" s="150"/>
      <c r="K161" s="150"/>
      <c r="P161" s="154">
        <v>1030905</v>
      </c>
      <c r="Q161" s="154">
        <v>756000</v>
      </c>
      <c r="R161" s="154">
        <v>42212300</v>
      </c>
      <c r="S161" s="154">
        <v>9467700</v>
      </c>
      <c r="T161" s="154"/>
      <c r="Y161" s="154"/>
      <c r="Z161" s="154"/>
      <c r="AA161" s="154"/>
      <c r="AB161" s="154"/>
      <c r="AC161" s="154"/>
      <c r="AD161" s="154"/>
      <c r="AE161" s="154"/>
    </row>
    <row r="162" spans="3:31">
      <c r="C162" s="150"/>
      <c r="D162" s="193"/>
      <c r="E162" s="193"/>
      <c r="F162" s="193"/>
      <c r="G162" s="193"/>
      <c r="H162" s="193"/>
      <c r="J162" s="150"/>
      <c r="K162" s="150"/>
      <c r="P162" s="154" t="e">
        <f ca="1">[3]!terbilang(P161)</f>
        <v>#NAME?</v>
      </c>
      <c r="Q162" s="154" t="e">
        <f ca="1">[3]!terbilang(Q161)</f>
        <v>#NAME?</v>
      </c>
      <c r="R162" s="154" t="e">
        <f ca="1">[3]!terbilang(R161)</f>
        <v>#NAME?</v>
      </c>
      <c r="S162" s="154" t="e">
        <f ca="1">[3]!terbilang(S161)</f>
        <v>#NAME?</v>
      </c>
      <c r="Y162" s="154"/>
      <c r="Z162" s="154"/>
      <c r="AA162" s="154"/>
      <c r="AB162" s="154"/>
      <c r="AC162" s="154"/>
      <c r="AD162" s="154" t="e">
        <f ca="1">[3]!terbilang(AD161)</f>
        <v>#NAME?</v>
      </c>
      <c r="AE162" s="154"/>
    </row>
    <row r="163" spans="3:31">
      <c r="D163" s="193"/>
      <c r="E163" s="154"/>
      <c r="F163" s="154"/>
      <c r="G163" s="154"/>
      <c r="J163" s="150"/>
      <c r="K163" s="150"/>
      <c r="P163" s="154"/>
      <c r="R163" s="154"/>
      <c r="AD163" s="154"/>
      <c r="AE163" s="154"/>
    </row>
    <row r="164" spans="3:31">
      <c r="D164" s="193"/>
      <c r="E164" s="154"/>
      <c r="F164" s="154"/>
      <c r="G164" s="154"/>
      <c r="J164" s="150"/>
      <c r="K164" s="150"/>
      <c r="P164" s="154"/>
      <c r="R164" s="154"/>
    </row>
    <row r="165" spans="3:31">
      <c r="C165" s="150"/>
      <c r="D165" s="154"/>
      <c r="E165" s="154"/>
      <c r="F165" s="154"/>
      <c r="G165" s="154"/>
      <c r="J165" s="150"/>
      <c r="K165" s="150"/>
      <c r="P165" s="154"/>
      <c r="R165" s="154"/>
      <c r="X165" s="154"/>
      <c r="AA165" s="154"/>
      <c r="AB165" s="154"/>
      <c r="AC165" s="154"/>
    </row>
    <row r="166" spans="3:31">
      <c r="C166" s="150"/>
      <c r="D166" s="150"/>
      <c r="J166" s="150"/>
      <c r="K166" s="150"/>
      <c r="P166" s="154"/>
      <c r="R166" s="154"/>
      <c r="X166" s="154"/>
      <c r="AA166" s="154"/>
      <c r="AB166" s="154"/>
      <c r="AC166" s="154"/>
    </row>
    <row r="167" spans="3:31">
      <c r="C167" s="150"/>
      <c r="D167" s="154"/>
      <c r="E167" s="154"/>
      <c r="F167" s="154"/>
      <c r="G167" s="154"/>
      <c r="P167" s="154"/>
      <c r="X167" s="154"/>
      <c r="AA167" s="154"/>
      <c r="AB167" s="154"/>
      <c r="AC167" s="154"/>
    </row>
    <row r="168" spans="3:31">
      <c r="C168" s="150"/>
      <c r="D168" s="193"/>
      <c r="E168" s="193"/>
      <c r="F168" s="193"/>
      <c r="G168" s="193"/>
      <c r="P168" s="154"/>
      <c r="W168" s="154"/>
      <c r="X168" s="154"/>
      <c r="AA168" s="154"/>
      <c r="AB168" s="154"/>
      <c r="AC168" s="154"/>
    </row>
    <row r="169" spans="3:31">
      <c r="C169" s="150"/>
      <c r="D169" s="150"/>
      <c r="J169" s="150"/>
      <c r="K169" s="150"/>
      <c r="P169" s="154"/>
      <c r="X169" s="154"/>
      <c r="AA169" s="154"/>
      <c r="AB169" s="154"/>
      <c r="AC169" s="154"/>
    </row>
    <row r="170" spans="3:31">
      <c r="C170" s="150"/>
      <c r="D170" s="150"/>
      <c r="J170" s="150"/>
      <c r="K170" s="150"/>
      <c r="P170" s="154"/>
      <c r="X170" s="154"/>
      <c r="AA170" s="154"/>
      <c r="AB170" s="154"/>
      <c r="AC170" s="154"/>
    </row>
    <row r="171" spans="3:31">
      <c r="C171" s="150"/>
      <c r="D171" s="150"/>
      <c r="E171" s="245">
        <f>C171+D171</f>
        <v>0</v>
      </c>
      <c r="F171" s="241">
        <v>151858375</v>
      </c>
      <c r="J171" s="150"/>
      <c r="K171" s="150"/>
      <c r="P171" s="154"/>
      <c r="X171" s="154"/>
      <c r="AA171" s="154"/>
      <c r="AB171" s="154"/>
      <c r="AC171" s="154"/>
    </row>
    <row r="172" spans="3:31">
      <c r="C172" s="150"/>
      <c r="D172" s="150"/>
      <c r="E172" s="245">
        <f t="shared" ref="E172:E189" si="4">C172+D172</f>
        <v>0</v>
      </c>
      <c r="F172" s="241">
        <v>151858375</v>
      </c>
      <c r="J172" s="150"/>
      <c r="K172" s="150"/>
      <c r="P172" s="154"/>
      <c r="X172" s="154"/>
      <c r="AA172" s="154"/>
      <c r="AB172" s="154"/>
      <c r="AC172" s="154"/>
    </row>
    <row r="173" spans="3:31">
      <c r="C173" s="150"/>
      <c r="D173" s="150"/>
      <c r="E173" s="245">
        <f t="shared" si="4"/>
        <v>0</v>
      </c>
      <c r="F173" s="241">
        <v>15635402</v>
      </c>
      <c r="J173" s="150"/>
      <c r="K173" s="150"/>
      <c r="X173" s="154"/>
      <c r="AA173" s="154"/>
      <c r="AB173" s="154"/>
      <c r="AC173" s="154"/>
    </row>
    <row r="174" spans="3:31">
      <c r="C174" s="150"/>
      <c r="D174" s="150"/>
      <c r="E174" s="245">
        <f t="shared" si="4"/>
        <v>0</v>
      </c>
      <c r="F174" s="241">
        <v>417819202</v>
      </c>
      <c r="J174" s="150"/>
      <c r="K174" s="150"/>
      <c r="X174" s="154"/>
      <c r="AA174" s="154"/>
      <c r="AB174" s="154"/>
      <c r="AC174" s="154"/>
    </row>
    <row r="175" spans="3:31">
      <c r="E175" s="245">
        <f t="shared" si="4"/>
        <v>0</v>
      </c>
      <c r="F175" s="241">
        <v>8266215</v>
      </c>
      <c r="J175" s="150"/>
      <c r="K175" s="150"/>
    </row>
    <row r="176" spans="3:31">
      <c r="E176" s="245">
        <f t="shared" si="4"/>
        <v>0</v>
      </c>
      <c r="F176" s="241">
        <v>8266215</v>
      </c>
      <c r="J176" s="150"/>
      <c r="K176" s="150"/>
    </row>
    <row r="177" spans="3:11">
      <c r="E177" s="245">
        <f t="shared" si="4"/>
        <v>0</v>
      </c>
      <c r="F177" s="242">
        <v>42795328</v>
      </c>
      <c r="J177" s="150"/>
      <c r="K177" s="150"/>
    </row>
    <row r="178" spans="3:11">
      <c r="C178" s="150"/>
      <c r="D178" s="150"/>
      <c r="E178" s="245">
        <f t="shared" si="4"/>
        <v>0</v>
      </c>
      <c r="F178" s="241">
        <v>26265232</v>
      </c>
      <c r="J178" s="150"/>
      <c r="K178" s="150"/>
    </row>
    <row r="179" spans="3:11">
      <c r="C179" s="150"/>
      <c r="D179" s="150"/>
      <c r="E179" s="245">
        <f t="shared" si="4"/>
        <v>0</v>
      </c>
      <c r="F179" s="242">
        <v>26265232</v>
      </c>
    </row>
    <row r="180" spans="3:11">
      <c r="C180" s="150"/>
      <c r="D180" s="150"/>
      <c r="E180" s="245">
        <f t="shared" si="4"/>
        <v>0</v>
      </c>
      <c r="F180" s="242">
        <v>199624868</v>
      </c>
    </row>
    <row r="181" spans="3:11">
      <c r="C181" s="150"/>
      <c r="D181" s="150"/>
      <c r="E181" s="245">
        <f t="shared" si="4"/>
        <v>0</v>
      </c>
      <c r="F181" s="241">
        <v>19684245</v>
      </c>
    </row>
    <row r="182" spans="3:11">
      <c r="C182" s="150"/>
      <c r="D182" s="150"/>
      <c r="E182" s="245">
        <f t="shared" si="4"/>
        <v>0</v>
      </c>
      <c r="F182" s="241">
        <v>77905425</v>
      </c>
      <c r="J182" s="150"/>
      <c r="K182" s="150"/>
    </row>
    <row r="183" spans="3:11">
      <c r="C183" s="150"/>
      <c r="D183" s="150"/>
      <c r="E183" s="245">
        <f t="shared" si="4"/>
        <v>0</v>
      </c>
      <c r="F183" s="241">
        <v>4441476</v>
      </c>
      <c r="J183" s="150"/>
      <c r="K183" s="150"/>
    </row>
    <row r="184" spans="3:11">
      <c r="C184" s="150"/>
      <c r="D184" s="150"/>
      <c r="E184" s="245">
        <f t="shared" si="4"/>
        <v>0</v>
      </c>
      <c r="F184" s="241">
        <v>4266433</v>
      </c>
      <c r="J184" s="150"/>
      <c r="K184" s="150"/>
    </row>
    <row r="185" spans="3:11">
      <c r="C185" s="150"/>
      <c r="D185" s="150"/>
      <c r="E185" s="245">
        <f t="shared" si="4"/>
        <v>0</v>
      </c>
      <c r="F185" s="241">
        <v>852429</v>
      </c>
      <c r="J185" s="150"/>
      <c r="K185" s="150"/>
    </row>
    <row r="186" spans="3:11">
      <c r="C186" s="150"/>
      <c r="D186" s="150"/>
      <c r="E186" s="245">
        <f t="shared" si="4"/>
        <v>0</v>
      </c>
      <c r="F186" s="241">
        <v>852429</v>
      </c>
      <c r="H186" s="154"/>
      <c r="J186" s="150"/>
      <c r="K186" s="150"/>
    </row>
    <row r="187" spans="3:11">
      <c r="C187" s="150"/>
      <c r="D187" s="150"/>
      <c r="E187" s="245">
        <f t="shared" si="4"/>
        <v>0</v>
      </c>
      <c r="F187" s="242">
        <v>112121856</v>
      </c>
      <c r="H187" s="154"/>
      <c r="J187" s="150"/>
      <c r="K187" s="150"/>
    </row>
    <row r="188" spans="3:11">
      <c r="C188" s="150"/>
      <c r="D188" s="150"/>
      <c r="E188" s="245">
        <f t="shared" si="4"/>
        <v>0</v>
      </c>
      <c r="F188" s="241">
        <v>95897725</v>
      </c>
      <c r="H188" s="154"/>
      <c r="J188" s="150"/>
      <c r="K188" s="150"/>
    </row>
    <row r="189" spans="3:11">
      <c r="C189" s="150"/>
      <c r="D189" s="150"/>
      <c r="E189" s="245">
        <f t="shared" si="4"/>
        <v>0</v>
      </c>
      <c r="F189" s="242">
        <v>611033945</v>
      </c>
      <c r="H189" s="154"/>
      <c r="J189" s="150"/>
      <c r="K189" s="150"/>
    </row>
    <row r="190" spans="3:11">
      <c r="C190" s="150"/>
      <c r="D190" s="150"/>
      <c r="F190" s="243"/>
      <c r="H190" s="154"/>
      <c r="J190" s="150"/>
      <c r="K190" s="150"/>
    </row>
    <row r="191" spans="3:11">
      <c r="H191" s="193" t="e">
        <f ca="1">[3]!terbilang(H190)</f>
        <v>#NAME?</v>
      </c>
      <c r="J191" s="150"/>
      <c r="K191" s="150"/>
    </row>
    <row r="192" spans="3:11">
      <c r="D192" s="193">
        <v>97846397</v>
      </c>
      <c r="E192" s="154">
        <v>2865371212</v>
      </c>
      <c r="F192" s="154">
        <v>89668307</v>
      </c>
      <c r="G192" s="154">
        <v>140646841</v>
      </c>
      <c r="H192" s="154"/>
      <c r="J192" s="150"/>
      <c r="K192" s="150"/>
    </row>
    <row r="193" spans="3:11">
      <c r="D193" s="193"/>
      <c r="E193" s="154"/>
      <c r="F193" s="154"/>
      <c r="G193" s="154"/>
      <c r="H193" s="154"/>
      <c r="J193" s="150"/>
      <c r="K193" s="150"/>
    </row>
    <row r="194" spans="3:11">
      <c r="D194" s="182" t="e">
        <f ca="1">[3]!terbilang(D192)</f>
        <v>#NAME?</v>
      </c>
      <c r="E194" s="193" t="e">
        <f ca="1">[3]!terbilang(E192)</f>
        <v>#NAME?</v>
      </c>
      <c r="F194" s="193" t="e">
        <f ca="1">[3]!terbilang(F192)</f>
        <v>#NAME?</v>
      </c>
      <c r="G194" s="193" t="e">
        <f ca="1">[3]!terbilang(G192)</f>
        <v>#NAME?</v>
      </c>
      <c r="H194" s="154"/>
      <c r="J194" s="150"/>
      <c r="K194" s="150"/>
    </row>
    <row r="195" spans="3:11">
      <c r="C195" s="150"/>
      <c r="D195" s="193"/>
      <c r="E195" s="154"/>
      <c r="F195" s="154"/>
      <c r="G195" s="154"/>
      <c r="H195" s="154"/>
      <c r="J195" s="150"/>
      <c r="K195" s="150"/>
    </row>
    <row r="196" spans="3:11">
      <c r="C196" s="150"/>
      <c r="D196" s="193">
        <v>14952300</v>
      </c>
      <c r="E196" s="154">
        <v>25686590</v>
      </c>
      <c r="F196" s="154">
        <v>12165006</v>
      </c>
      <c r="G196" s="154">
        <v>33728185</v>
      </c>
      <c r="H196" s="154"/>
      <c r="J196" s="150"/>
      <c r="K196" s="150"/>
    </row>
    <row r="197" spans="3:11">
      <c r="C197" s="150"/>
      <c r="D197" s="193" t="e">
        <f ca="1">[3]!terbilang(D196)</f>
        <v>#NAME?</v>
      </c>
      <c r="E197" s="193" t="e">
        <f ca="1">[3]!terbilang(E196)</f>
        <v>#NAME?</v>
      </c>
      <c r="F197" s="193" t="e">
        <f ca="1">[3]!terbilang(F196)</f>
        <v>#NAME?</v>
      </c>
      <c r="G197" s="193" t="e">
        <f ca="1">[3]!terbilang(G196)</f>
        <v>#NAME?</v>
      </c>
      <c r="H197" s="154"/>
      <c r="J197" s="150"/>
      <c r="K197" s="150"/>
    </row>
    <row r="198" spans="3:11">
      <c r="C198" s="150"/>
      <c r="D198" s="193"/>
      <c r="E198" s="193"/>
      <c r="F198" s="193"/>
      <c r="G198" s="193"/>
      <c r="H198" s="193" t="e">
        <f ca="1">[3]!terbilang(H196)</f>
        <v>#NAME?</v>
      </c>
      <c r="J198" s="150"/>
      <c r="K198" s="150"/>
    </row>
    <row r="199" spans="3:11">
      <c r="C199" s="150"/>
      <c r="D199" s="193">
        <v>48422213</v>
      </c>
      <c r="E199" s="154">
        <v>36753941</v>
      </c>
      <c r="F199" s="154">
        <v>31079686</v>
      </c>
      <c r="G199" s="154">
        <v>20004300</v>
      </c>
      <c r="H199" s="154"/>
      <c r="J199" s="150"/>
      <c r="K199" s="150"/>
    </row>
    <row r="200" spans="3:11">
      <c r="C200" s="150"/>
      <c r="D200" s="193"/>
      <c r="E200" s="154"/>
      <c r="F200" s="154"/>
      <c r="G200" s="154"/>
      <c r="H200" s="154"/>
      <c r="J200" s="150"/>
      <c r="K200" s="150"/>
    </row>
    <row r="201" spans="3:11">
      <c r="C201" s="150"/>
      <c r="D201" s="193" t="e">
        <f ca="1">[3]!terbilang(D199)</f>
        <v>#NAME?</v>
      </c>
      <c r="E201" s="193" t="e">
        <f ca="1">[3]!terbilang(E199)</f>
        <v>#NAME?</v>
      </c>
      <c r="F201" s="193" t="e">
        <f ca="1">[3]!terbilang(F199)</f>
        <v>#NAME?</v>
      </c>
      <c r="G201" s="193" t="e">
        <f ca="1">[3]!terbilang(G199)</f>
        <v>#NAME?</v>
      </c>
      <c r="H201" s="154"/>
      <c r="J201" s="150"/>
      <c r="K201" s="150"/>
    </row>
    <row r="202" spans="3:11">
      <c r="C202" s="150"/>
      <c r="D202" s="193">
        <v>59307925</v>
      </c>
      <c r="E202" s="154">
        <v>91714882</v>
      </c>
      <c r="F202" s="154">
        <v>50376375</v>
      </c>
      <c r="G202" s="154">
        <v>48653224</v>
      </c>
      <c r="H202" s="154"/>
      <c r="J202" s="150"/>
      <c r="K202" s="150"/>
    </row>
    <row r="203" spans="3:11">
      <c r="C203" s="150"/>
      <c r="D203" s="193"/>
      <c r="E203" s="154"/>
      <c r="F203" s="154"/>
      <c r="G203" s="154"/>
      <c r="H203" s="154"/>
      <c r="J203" s="150"/>
      <c r="K203" s="150"/>
    </row>
    <row r="204" spans="3:11">
      <c r="C204" s="150"/>
      <c r="D204" s="193" t="e">
        <f ca="1">[3]!terbilang(D202)</f>
        <v>#NAME?</v>
      </c>
      <c r="E204" s="193" t="e">
        <f ca="1">[3]!terbilang(E202)</f>
        <v>#NAME?</v>
      </c>
      <c r="F204" s="193" t="e">
        <f ca="1">[3]!terbilang(F202)</f>
        <v>#NAME?</v>
      </c>
      <c r="G204" s="193" t="e">
        <f ca="1">[3]!terbilang(G202)</f>
        <v>#NAME?</v>
      </c>
      <c r="J204" s="150"/>
      <c r="K204" s="150"/>
    </row>
    <row r="205" spans="3:11">
      <c r="C205" s="150"/>
      <c r="D205" s="193"/>
      <c r="E205" s="154"/>
      <c r="F205" s="154"/>
      <c r="G205" s="154"/>
      <c r="J205" s="150"/>
      <c r="K205" s="150"/>
    </row>
    <row r="206" spans="3:11">
      <c r="C206" s="150"/>
      <c r="D206" s="193"/>
      <c r="E206" s="154"/>
      <c r="F206" s="154"/>
      <c r="G206" s="154"/>
      <c r="J206" s="150"/>
      <c r="K206" s="150"/>
    </row>
    <row r="207" spans="3:11">
      <c r="C207" s="150"/>
      <c r="D207" s="193"/>
      <c r="E207" s="154"/>
      <c r="F207" s="154"/>
      <c r="G207" s="154"/>
      <c r="J207" s="150"/>
      <c r="K207" s="150"/>
    </row>
    <row r="208" spans="3:11">
      <c r="C208" s="150"/>
      <c r="D208" s="193"/>
      <c r="E208" s="154"/>
      <c r="F208" s="154"/>
      <c r="G208" s="154"/>
      <c r="J208" s="150"/>
      <c r="K208" s="150"/>
    </row>
    <row r="209" spans="3:11">
      <c r="C209" s="150"/>
      <c r="D209" s="193"/>
      <c r="E209" s="154" t="s">
        <v>108</v>
      </c>
      <c r="F209" s="154"/>
      <c r="G209" s="154"/>
      <c r="J209" s="150"/>
      <c r="K209" s="150"/>
    </row>
    <row r="211" spans="3:11">
      <c r="C211" s="150"/>
      <c r="D211" s="182" t="s">
        <v>112</v>
      </c>
      <c r="J211" s="150"/>
      <c r="K211" s="150"/>
    </row>
    <row r="212" spans="3:11">
      <c r="C212" s="150"/>
      <c r="E212" s="150" t="s">
        <v>111</v>
      </c>
      <c r="J212" s="150"/>
      <c r="K212" s="150"/>
    </row>
  </sheetData>
  <mergeCells count="17">
    <mergeCell ref="C4:AG4"/>
    <mergeCell ref="A96:B96"/>
    <mergeCell ref="AD103:AF103"/>
    <mergeCell ref="F105:G105"/>
    <mergeCell ref="H105:I105"/>
    <mergeCell ref="J105:K105"/>
    <mergeCell ref="L105:M105"/>
    <mergeCell ref="R105:T105"/>
    <mergeCell ref="W110:X110"/>
    <mergeCell ref="L130:N130"/>
    <mergeCell ref="P130:R130"/>
    <mergeCell ref="F106:G106"/>
    <mergeCell ref="H106:I106"/>
    <mergeCell ref="J106:K106"/>
    <mergeCell ref="L106:M106"/>
    <mergeCell ref="W109:Z109"/>
    <mergeCell ref="R106:T106"/>
  </mergeCells>
  <pageMargins left="0.7" right="0.7" top="0.75" bottom="0.75" header="0.3" footer="0.3"/>
  <pageSetup paperSize="9" orientation="portrait" horizontalDpi="120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09"/>
  <sheetViews>
    <sheetView topLeftCell="H1" zoomScale="60" zoomScaleNormal="60" workbookViewId="0">
      <selection activeCell="L80" sqref="L80"/>
    </sheetView>
  </sheetViews>
  <sheetFormatPr defaultRowHeight="15.75"/>
  <cols>
    <col min="1" max="1" width="31.7109375" style="150" customWidth="1"/>
    <col min="2" max="2" width="13.42578125" style="150" customWidth="1"/>
    <col min="3" max="3" width="19.85546875" style="182" customWidth="1"/>
    <col min="4" max="4" width="18.7109375" style="182" customWidth="1"/>
    <col min="5" max="5" width="21.28515625" style="150" customWidth="1"/>
    <col min="6" max="6" width="22.5703125" style="150" customWidth="1"/>
    <col min="7" max="7" width="18.42578125" style="150" customWidth="1"/>
    <col min="8" max="8" width="22.140625" style="150" customWidth="1"/>
    <col min="9" max="9" width="21.42578125" style="150" customWidth="1"/>
    <col min="10" max="10" width="22.140625" style="182" customWidth="1"/>
    <col min="11" max="11" width="21" style="182" customWidth="1"/>
    <col min="12" max="12" width="24.140625" style="150" customWidth="1"/>
    <col min="13" max="13" width="27.28515625" style="150" customWidth="1"/>
    <col min="14" max="14" width="19.42578125" style="150" customWidth="1"/>
    <col min="15" max="15" width="18.28515625" style="150" customWidth="1"/>
    <col min="16" max="16" width="19.85546875" style="150" customWidth="1"/>
    <col min="17" max="17" width="24.5703125" style="150" customWidth="1"/>
    <col min="18" max="18" width="20.140625" style="150" customWidth="1"/>
    <col min="19" max="19" width="23.28515625" style="150" customWidth="1"/>
    <col min="20" max="20" width="26.42578125" style="150" customWidth="1"/>
    <col min="21" max="21" width="19.5703125" style="150" customWidth="1"/>
    <col min="22" max="22" width="19.42578125" style="150" customWidth="1"/>
    <col min="23" max="23" width="23" style="150" customWidth="1"/>
    <col min="24" max="25" width="20.7109375" style="150" customWidth="1"/>
    <col min="26" max="26" width="22.42578125" style="150" customWidth="1"/>
    <col min="27" max="27" width="21.7109375" style="150" customWidth="1"/>
    <col min="28" max="28" width="20.28515625" style="150" customWidth="1"/>
    <col min="29" max="29" width="18.5703125" style="150" customWidth="1"/>
    <col min="30" max="30" width="26.42578125" style="150" customWidth="1"/>
    <col min="31" max="31" width="26.140625" style="150" customWidth="1"/>
    <col min="32" max="32" width="19" style="150" customWidth="1"/>
    <col min="33" max="34" width="21.7109375" style="150" customWidth="1"/>
    <col min="35" max="35" width="20.28515625" style="150" customWidth="1"/>
    <col min="36" max="36" width="18.140625" style="150" customWidth="1"/>
    <col min="37" max="37" width="12.85546875" style="150" customWidth="1"/>
    <col min="38" max="38" width="19.140625" style="150" customWidth="1"/>
    <col min="39" max="16384" width="9.140625" style="150"/>
  </cols>
  <sheetData>
    <row r="1" spans="1:36">
      <c r="A1" s="147" t="s">
        <v>0</v>
      </c>
      <c r="B1" s="148"/>
      <c r="C1" s="149"/>
      <c r="D1" s="149"/>
      <c r="E1" s="148"/>
      <c r="F1" s="148"/>
      <c r="G1" s="148"/>
      <c r="H1" s="148"/>
      <c r="I1" s="148"/>
      <c r="J1" s="149"/>
      <c r="K1" s="149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</row>
    <row r="2" spans="1:36" s="154" customFormat="1">
      <c r="A2" s="151" t="s">
        <v>1</v>
      </c>
      <c r="B2" s="152"/>
      <c r="C2" s="153"/>
      <c r="D2" s="153"/>
      <c r="E2" s="152"/>
      <c r="F2" s="152"/>
      <c r="G2" s="152"/>
      <c r="H2" s="152"/>
      <c r="I2" s="152"/>
      <c r="J2" s="153"/>
      <c r="K2" s="153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</row>
    <row r="3" spans="1:36">
      <c r="A3" s="155" t="s">
        <v>2</v>
      </c>
      <c r="B3" s="156">
        <v>44652</v>
      </c>
      <c r="C3" s="153"/>
      <c r="D3" s="153"/>
      <c r="E3" s="152"/>
      <c r="F3" s="152"/>
      <c r="G3" s="152"/>
      <c r="H3" s="152"/>
      <c r="I3" s="152"/>
      <c r="J3" s="153"/>
      <c r="K3" s="153"/>
      <c r="L3" s="152"/>
      <c r="M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</row>
    <row r="4" spans="1:36">
      <c r="A4" s="157" t="s">
        <v>3</v>
      </c>
      <c r="B4" s="158" t="s">
        <v>4</v>
      </c>
      <c r="C4" s="390" t="s">
        <v>5</v>
      </c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2"/>
      <c r="AH4" s="304"/>
      <c r="AI4" s="159" t="s">
        <v>6</v>
      </c>
      <c r="AJ4" s="154"/>
    </row>
    <row r="5" spans="1:36">
      <c r="A5" s="157"/>
      <c r="B5" s="158"/>
      <c r="C5" s="160">
        <v>44652</v>
      </c>
      <c r="D5" s="160">
        <v>44653</v>
      </c>
      <c r="E5" s="160">
        <v>44654</v>
      </c>
      <c r="F5" s="160">
        <v>44655</v>
      </c>
      <c r="G5" s="160">
        <v>44656</v>
      </c>
      <c r="H5" s="160">
        <v>44657</v>
      </c>
      <c r="I5" s="160">
        <v>44658</v>
      </c>
      <c r="J5" s="160">
        <v>44659</v>
      </c>
      <c r="K5" s="160">
        <v>44660</v>
      </c>
      <c r="L5" s="160">
        <v>44661</v>
      </c>
      <c r="M5" s="160">
        <v>44662</v>
      </c>
      <c r="N5" s="160">
        <v>44663</v>
      </c>
      <c r="O5" s="160">
        <v>44664</v>
      </c>
      <c r="P5" s="160">
        <v>44665</v>
      </c>
      <c r="Q5" s="160">
        <v>44666</v>
      </c>
      <c r="R5" s="160">
        <v>44667</v>
      </c>
      <c r="S5" s="160">
        <v>44668</v>
      </c>
      <c r="T5" s="160">
        <v>44669</v>
      </c>
      <c r="U5" s="160">
        <v>44670</v>
      </c>
      <c r="V5" s="160">
        <v>44671</v>
      </c>
      <c r="W5" s="160">
        <v>44672</v>
      </c>
      <c r="X5" s="160">
        <v>44673</v>
      </c>
      <c r="Y5" s="160">
        <v>44674</v>
      </c>
      <c r="Z5" s="160">
        <v>44675</v>
      </c>
      <c r="AA5" s="160">
        <v>44676</v>
      </c>
      <c r="AB5" s="160">
        <v>44677</v>
      </c>
      <c r="AC5" s="160">
        <v>44678</v>
      </c>
      <c r="AD5" s="160">
        <v>44679</v>
      </c>
      <c r="AE5" s="160">
        <v>44680</v>
      </c>
      <c r="AF5" s="160">
        <v>44681</v>
      </c>
      <c r="AG5" s="160">
        <v>44682</v>
      </c>
      <c r="AH5" s="160"/>
      <c r="AI5" s="159"/>
      <c r="AJ5" s="154"/>
    </row>
    <row r="6" spans="1:36">
      <c r="A6" s="161" t="s">
        <v>7</v>
      </c>
      <c r="B6" s="162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8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3"/>
      <c r="AJ6" s="173"/>
    </row>
    <row r="7" spans="1:36">
      <c r="A7" s="258" t="s">
        <v>577</v>
      </c>
      <c r="B7" s="162"/>
      <c r="C7" s="281"/>
      <c r="D7" s="273"/>
      <c r="E7" s="167"/>
      <c r="F7" s="281"/>
      <c r="G7" s="281"/>
      <c r="H7" s="281"/>
      <c r="I7" s="281"/>
      <c r="J7" s="281"/>
      <c r="K7" s="167"/>
      <c r="L7" s="167"/>
      <c r="M7" s="281"/>
      <c r="N7" s="281"/>
      <c r="O7" s="281"/>
      <c r="P7" s="281"/>
      <c r="Q7" s="167"/>
      <c r="R7" s="167"/>
      <c r="S7" s="167"/>
      <c r="T7" s="281"/>
      <c r="U7" s="167"/>
      <c r="V7" s="281"/>
      <c r="W7" s="281"/>
      <c r="X7" s="281"/>
      <c r="Y7" s="281"/>
      <c r="Z7" s="167"/>
      <c r="AA7" s="167"/>
      <c r="AB7" s="281"/>
      <c r="AC7" s="273"/>
      <c r="AD7" s="281"/>
      <c r="AE7" s="281">
        <v>1500000000</v>
      </c>
      <c r="AF7" s="281"/>
      <c r="AG7" s="273"/>
      <c r="AH7" s="273"/>
      <c r="AI7" s="163"/>
      <c r="AJ7" s="173"/>
    </row>
    <row r="8" spans="1:36">
      <c r="A8" s="258" t="s">
        <v>492</v>
      </c>
      <c r="B8" s="162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168">
        <v>1692904784</v>
      </c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163">
        <v>394291651</v>
      </c>
      <c r="AB8" s="273"/>
      <c r="AC8" s="273"/>
      <c r="AD8" s="273"/>
      <c r="AE8" s="273"/>
      <c r="AF8" s="273"/>
      <c r="AG8" s="273"/>
      <c r="AH8" s="273"/>
      <c r="AI8" s="163"/>
      <c r="AJ8" s="173"/>
    </row>
    <row r="9" spans="1:36">
      <c r="A9" s="166" t="s">
        <v>356</v>
      </c>
      <c r="B9" s="191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5"/>
      <c r="AJ9" s="154"/>
    </row>
    <row r="10" spans="1:36">
      <c r="A10" s="166" t="s">
        <v>480</v>
      </c>
      <c r="B10" s="191"/>
      <c r="C10" s="273"/>
      <c r="D10" s="273"/>
      <c r="E10" s="273"/>
      <c r="F10" s="273"/>
      <c r="G10" s="273"/>
      <c r="H10" s="273">
        <v>277606791</v>
      </c>
      <c r="I10" s="171"/>
      <c r="J10" s="171">
        <v>138082338</v>
      </c>
      <c r="K10" s="171"/>
      <c r="L10" s="171"/>
      <c r="M10" s="171"/>
      <c r="N10" s="171">
        <v>183760182</v>
      </c>
      <c r="O10" s="171"/>
      <c r="P10" s="171">
        <v>281266701</v>
      </c>
      <c r="Q10" s="171"/>
      <c r="R10" s="273"/>
      <c r="S10" s="170"/>
      <c r="T10" s="273"/>
      <c r="U10" s="273">
        <v>146013961</v>
      </c>
      <c r="V10" s="273"/>
      <c r="W10" s="273"/>
      <c r="X10" s="273"/>
      <c r="Y10" s="273"/>
      <c r="Z10" s="273"/>
      <c r="AA10" s="273">
        <v>146013961</v>
      </c>
      <c r="AB10" s="273"/>
      <c r="AC10" s="273"/>
      <c r="AD10" s="273"/>
      <c r="AE10" s="273"/>
      <c r="AF10" s="273"/>
      <c r="AG10" s="273"/>
      <c r="AH10" s="273"/>
      <c r="AI10" s="165"/>
      <c r="AJ10" s="173"/>
    </row>
    <row r="11" spans="1:36">
      <c r="A11" s="166" t="s">
        <v>617</v>
      </c>
      <c r="B11" s="191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273"/>
      <c r="AD11" s="175"/>
      <c r="AE11" s="175">
        <v>363128887</v>
      </c>
      <c r="AF11" s="273"/>
      <c r="AG11" s="273"/>
      <c r="AH11" s="273"/>
      <c r="AI11" s="165"/>
      <c r="AJ11" s="173"/>
    </row>
    <row r="12" spans="1:36">
      <c r="A12" s="166" t="s">
        <v>541</v>
      </c>
      <c r="B12" s="191"/>
      <c r="C12" s="171"/>
      <c r="D12" s="175"/>
      <c r="E12" s="175"/>
      <c r="F12" s="171"/>
      <c r="G12" s="273"/>
      <c r="H12" s="273"/>
      <c r="I12" s="273"/>
      <c r="J12" s="273"/>
      <c r="K12" s="175"/>
      <c r="L12" s="175"/>
      <c r="M12" s="273"/>
      <c r="N12" s="273"/>
      <c r="O12" s="171"/>
      <c r="P12" s="171"/>
      <c r="Q12" s="175"/>
      <c r="R12" s="175"/>
      <c r="S12" s="171"/>
      <c r="T12" s="171"/>
      <c r="U12" s="273"/>
      <c r="V12" s="171"/>
      <c r="W12" s="171">
        <v>107419973</v>
      </c>
      <c r="X12" s="171"/>
      <c r="Y12" s="171"/>
      <c r="Z12" s="171"/>
      <c r="AA12" s="171"/>
      <c r="AB12" s="171"/>
      <c r="AC12" s="273"/>
      <c r="AD12" s="171"/>
      <c r="AE12" s="171"/>
      <c r="AF12" s="273"/>
      <c r="AG12" s="273"/>
      <c r="AH12" s="273"/>
      <c r="AI12" s="165"/>
      <c r="AJ12" s="173"/>
    </row>
    <row r="13" spans="1:36">
      <c r="A13" s="166" t="s">
        <v>615</v>
      </c>
      <c r="B13" s="191"/>
      <c r="C13" s="171"/>
      <c r="D13" s="175"/>
      <c r="E13" s="175"/>
      <c r="F13" s="171">
        <f>9161900-3725600</f>
        <v>5436300</v>
      </c>
      <c r="G13" s="273"/>
      <c r="H13" s="273"/>
      <c r="I13" s="273"/>
      <c r="J13" s="273"/>
      <c r="K13" s="175"/>
      <c r="L13" s="175"/>
      <c r="M13" s="273"/>
      <c r="N13" s="273"/>
      <c r="O13" s="171"/>
      <c r="P13" s="171"/>
      <c r="Q13" s="175"/>
      <c r="R13" s="175"/>
      <c r="S13" s="171"/>
      <c r="T13" s="171"/>
      <c r="U13" s="273"/>
      <c r="V13" s="171"/>
      <c r="W13" s="171"/>
      <c r="X13" s="171"/>
      <c r="Y13" s="171"/>
      <c r="Z13" s="171"/>
      <c r="AA13" s="171"/>
      <c r="AB13" s="171"/>
      <c r="AC13" s="273"/>
      <c r="AD13" s="171"/>
      <c r="AE13" s="171"/>
      <c r="AF13" s="273"/>
      <c r="AG13" s="273"/>
      <c r="AH13" s="273"/>
      <c r="AI13" s="165"/>
      <c r="AJ13" s="173"/>
    </row>
    <row r="14" spans="1:36">
      <c r="A14" s="166" t="s">
        <v>10</v>
      </c>
      <c r="B14" s="191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171"/>
      <c r="P14" s="171"/>
      <c r="Q14" s="273"/>
      <c r="R14" s="273"/>
      <c r="S14" s="171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165"/>
      <c r="AJ14" s="173"/>
    </row>
    <row r="15" spans="1:36">
      <c r="A15" s="166" t="s">
        <v>205</v>
      </c>
      <c r="B15" s="191"/>
      <c r="C15" s="175"/>
      <c r="D15" s="171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1"/>
      <c r="T15" s="175"/>
      <c r="U15" s="171"/>
      <c r="V15" s="175"/>
      <c r="W15" s="175"/>
      <c r="X15" s="175"/>
      <c r="Y15" s="175"/>
      <c r="Z15" s="175"/>
      <c r="AA15" s="175"/>
      <c r="AB15" s="175"/>
      <c r="AC15" s="171"/>
      <c r="AD15" s="175"/>
      <c r="AE15" s="175">
        <v>21000000</v>
      </c>
      <c r="AF15" s="171"/>
      <c r="AG15" s="171"/>
      <c r="AH15" s="274"/>
      <c r="AI15" s="165"/>
      <c r="AJ15" s="234"/>
    </row>
    <row r="16" spans="1:36">
      <c r="A16" s="166" t="s">
        <v>206</v>
      </c>
      <c r="B16" s="191"/>
      <c r="C16" s="175"/>
      <c r="D16" s="171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1"/>
      <c r="T16" s="175"/>
      <c r="U16" s="171"/>
      <c r="V16" s="175"/>
      <c r="W16" s="175"/>
      <c r="X16" s="175"/>
      <c r="Y16" s="175"/>
      <c r="Z16" s="175"/>
      <c r="AA16" s="175"/>
      <c r="AB16" s="175"/>
      <c r="AC16" s="171"/>
      <c r="AD16" s="175"/>
      <c r="AE16" s="175">
        <v>14000000</v>
      </c>
      <c r="AF16" s="171"/>
      <c r="AG16" s="171"/>
      <c r="AH16" s="274"/>
      <c r="AI16" s="165"/>
      <c r="AJ16" s="234">
        <f>SUM(AI15:AI16)</f>
        <v>0</v>
      </c>
    </row>
    <row r="17" spans="1:36">
      <c r="A17" s="166" t="s">
        <v>578</v>
      </c>
      <c r="B17" s="191"/>
      <c r="C17" s="280"/>
      <c r="D17" s="171"/>
      <c r="E17" s="175"/>
      <c r="F17" s="280"/>
      <c r="G17" s="280"/>
      <c r="H17" s="280"/>
      <c r="I17" s="280"/>
      <c r="J17" s="280"/>
      <c r="K17" s="175"/>
      <c r="L17" s="175"/>
      <c r="M17" s="280"/>
      <c r="N17" s="280"/>
      <c r="O17" s="280"/>
      <c r="P17" s="280"/>
      <c r="Q17" s="175"/>
      <c r="R17" s="175"/>
      <c r="S17" s="175"/>
      <c r="T17" s="280"/>
      <c r="U17" s="175"/>
      <c r="V17" s="280"/>
      <c r="W17" s="280"/>
      <c r="X17" s="280"/>
      <c r="Y17" s="280"/>
      <c r="Z17" s="175"/>
      <c r="AA17" s="175"/>
      <c r="AB17" s="280"/>
      <c r="AC17" s="171"/>
      <c r="AD17" s="280"/>
      <c r="AE17" s="280">
        <v>1000000000</v>
      </c>
      <c r="AF17" s="280"/>
      <c r="AG17" s="171"/>
      <c r="AH17" s="171"/>
      <c r="AI17" s="165"/>
      <c r="AJ17" s="234"/>
    </row>
    <row r="18" spans="1:36">
      <c r="A18" s="166" t="s">
        <v>579</v>
      </c>
      <c r="B18" s="191"/>
      <c r="C18" s="171"/>
      <c r="D18" s="171"/>
      <c r="E18" s="171"/>
      <c r="F18" s="243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5"/>
      <c r="X18" s="175"/>
      <c r="Y18" s="175"/>
      <c r="Z18" s="175"/>
      <c r="AA18" s="171"/>
      <c r="AB18" s="175"/>
      <c r="AC18" s="171"/>
      <c r="AD18" s="175"/>
      <c r="AE18" s="175"/>
      <c r="AF18" s="171"/>
      <c r="AG18" s="171"/>
      <c r="AH18" s="171"/>
      <c r="AI18" s="165"/>
      <c r="AJ18" s="234"/>
    </row>
    <row r="19" spans="1:36">
      <c r="A19" s="166" t="s">
        <v>261</v>
      </c>
      <c r="B19" s="19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65"/>
      <c r="AJ19" s="234"/>
    </row>
    <row r="20" spans="1:36">
      <c r="A20" s="166" t="s">
        <v>537</v>
      </c>
      <c r="B20" s="191"/>
      <c r="C20" s="175"/>
      <c r="D20" s="175"/>
      <c r="E20" s="175"/>
      <c r="F20" s="175"/>
      <c r="G20" s="171"/>
      <c r="H20" s="171"/>
      <c r="I20" s="172"/>
      <c r="J20" s="171"/>
      <c r="K20" s="172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5"/>
      <c r="X20" s="175"/>
      <c r="Y20" s="175"/>
      <c r="Z20" s="171"/>
      <c r="AA20" s="175"/>
      <c r="AB20" s="175"/>
      <c r="AC20" s="171"/>
      <c r="AD20" s="175"/>
      <c r="AE20" s="175"/>
      <c r="AF20" s="171"/>
      <c r="AG20" s="171"/>
      <c r="AH20" s="169"/>
      <c r="AI20" s="165"/>
      <c r="AJ20" s="234"/>
    </row>
    <row r="21" spans="1:36">
      <c r="A21" s="166" t="s">
        <v>538</v>
      </c>
      <c r="B21" s="191"/>
      <c r="C21" s="175"/>
      <c r="D21" s="175"/>
      <c r="E21" s="175"/>
      <c r="F21" s="175"/>
      <c r="G21" s="171"/>
      <c r="H21" s="171"/>
      <c r="I21" s="175"/>
      <c r="J21" s="175"/>
      <c r="K21" s="175"/>
      <c r="L21" s="175"/>
      <c r="M21" s="175"/>
      <c r="N21" s="171"/>
      <c r="O21" s="171"/>
      <c r="P21" s="175"/>
      <c r="Q21" s="175"/>
      <c r="R21" s="172"/>
      <c r="S21" s="175"/>
      <c r="T21" s="171"/>
      <c r="U21" s="171"/>
      <c r="V21" s="171"/>
      <c r="W21" s="175"/>
      <c r="X21" s="175"/>
      <c r="Y21" s="175"/>
      <c r="Z21" s="171"/>
      <c r="AA21" s="175"/>
      <c r="AB21" s="175"/>
      <c r="AC21" s="171"/>
      <c r="AD21" s="175"/>
      <c r="AE21" s="175"/>
      <c r="AF21" s="171"/>
      <c r="AG21" s="171"/>
      <c r="AH21" s="169"/>
      <c r="AI21" s="165"/>
      <c r="AJ21" s="234"/>
    </row>
    <row r="22" spans="1:36">
      <c r="A22" s="166" t="s">
        <v>569</v>
      </c>
      <c r="B22" s="191"/>
      <c r="C22" s="175"/>
      <c r="D22" s="175"/>
      <c r="E22" s="175"/>
      <c r="F22" s="175"/>
      <c r="G22" s="171"/>
      <c r="H22" s="171"/>
      <c r="I22" s="175"/>
      <c r="J22" s="175"/>
      <c r="K22" s="175"/>
      <c r="L22" s="175"/>
      <c r="M22" s="175"/>
      <c r="N22" s="171"/>
      <c r="O22" s="171"/>
      <c r="P22" s="175"/>
      <c r="Q22" s="175"/>
      <c r="R22" s="172"/>
      <c r="S22" s="175"/>
      <c r="T22" s="171"/>
      <c r="U22" s="171"/>
      <c r="V22" s="171"/>
      <c r="W22" s="175"/>
      <c r="X22" s="175"/>
      <c r="Y22" s="175"/>
      <c r="Z22" s="171"/>
      <c r="AA22" s="175"/>
      <c r="AB22" s="175"/>
      <c r="AC22" s="171"/>
      <c r="AD22" s="175"/>
      <c r="AE22" s="175"/>
      <c r="AF22" s="171"/>
      <c r="AG22" s="171"/>
      <c r="AH22" s="169"/>
      <c r="AI22" s="165"/>
      <c r="AJ22" s="234"/>
    </row>
    <row r="23" spans="1:36">
      <c r="A23" s="166" t="s">
        <v>570</v>
      </c>
      <c r="B23" s="191"/>
      <c r="C23" s="175"/>
      <c r="D23" s="175"/>
      <c r="E23" s="175"/>
      <c r="F23" s="175"/>
      <c r="G23" s="171"/>
      <c r="H23" s="171"/>
      <c r="I23" s="175"/>
      <c r="J23" s="175"/>
      <c r="K23" s="172"/>
      <c r="L23" s="175"/>
      <c r="M23" s="175"/>
      <c r="N23" s="171"/>
      <c r="O23" s="171"/>
      <c r="P23" s="175"/>
      <c r="Q23" s="175"/>
      <c r="R23" s="172"/>
      <c r="S23" s="175"/>
      <c r="T23" s="171"/>
      <c r="U23" s="171"/>
      <c r="V23" s="171"/>
      <c r="W23" s="175"/>
      <c r="X23" s="175"/>
      <c r="Y23" s="175"/>
      <c r="Z23" s="171"/>
      <c r="AA23" s="175"/>
      <c r="AB23" s="175"/>
      <c r="AC23" s="171"/>
      <c r="AD23" s="175"/>
      <c r="AE23" s="175"/>
      <c r="AF23" s="171"/>
      <c r="AG23" s="171"/>
      <c r="AH23" s="169"/>
      <c r="AI23" s="165"/>
      <c r="AJ23" s="234"/>
    </row>
    <row r="24" spans="1:36">
      <c r="A24" s="166" t="s">
        <v>571</v>
      </c>
      <c r="B24" s="191"/>
      <c r="C24" s="175"/>
      <c r="D24" s="175"/>
      <c r="E24" s="175"/>
      <c r="F24" s="175"/>
      <c r="G24" s="171"/>
      <c r="H24" s="171"/>
      <c r="I24" s="175"/>
      <c r="J24" s="175"/>
      <c r="K24" s="172"/>
      <c r="L24" s="175"/>
      <c r="M24" s="175"/>
      <c r="N24" s="171"/>
      <c r="O24" s="171"/>
      <c r="P24" s="175"/>
      <c r="Q24" s="175"/>
      <c r="R24" s="172"/>
      <c r="S24" s="175"/>
      <c r="T24" s="171"/>
      <c r="U24" s="171"/>
      <c r="V24" s="171"/>
      <c r="W24" s="175"/>
      <c r="X24" s="175"/>
      <c r="Y24" s="175"/>
      <c r="Z24" s="171"/>
      <c r="AA24" s="175"/>
      <c r="AB24" s="175"/>
      <c r="AC24" s="171"/>
      <c r="AD24" s="175"/>
      <c r="AE24" s="175"/>
      <c r="AF24" s="171"/>
      <c r="AG24" s="171"/>
      <c r="AH24" s="169"/>
      <c r="AI24" s="165"/>
      <c r="AJ24" s="234"/>
    </row>
    <row r="25" spans="1:36">
      <c r="A25" s="166" t="s">
        <v>572</v>
      </c>
      <c r="B25" s="191"/>
      <c r="C25" s="175"/>
      <c r="D25" s="175"/>
      <c r="E25" s="175"/>
      <c r="F25" s="175"/>
      <c r="G25" s="171"/>
      <c r="H25" s="171"/>
      <c r="I25" s="175"/>
      <c r="J25" s="175"/>
      <c r="K25" s="175"/>
      <c r="L25" s="175"/>
      <c r="M25" s="175"/>
      <c r="N25" s="171"/>
      <c r="O25" s="171"/>
      <c r="P25" s="175"/>
      <c r="Q25" s="172"/>
      <c r="R25" s="172"/>
      <c r="S25" s="175"/>
      <c r="T25" s="171"/>
      <c r="U25" s="171"/>
      <c r="V25" s="171"/>
      <c r="W25" s="175"/>
      <c r="X25" s="175"/>
      <c r="Y25" s="175"/>
      <c r="Z25" s="171"/>
      <c r="AA25" s="175"/>
      <c r="AB25" s="175"/>
      <c r="AC25" s="171"/>
      <c r="AD25" s="175"/>
      <c r="AE25" s="175"/>
      <c r="AF25" s="171"/>
      <c r="AG25" s="171"/>
      <c r="AH25" s="169"/>
      <c r="AI25" s="165"/>
      <c r="AJ25" s="234"/>
    </row>
    <row r="26" spans="1:36">
      <c r="A26" s="166" t="s">
        <v>573</v>
      </c>
      <c r="B26" s="191"/>
      <c r="C26" s="175"/>
      <c r="D26" s="175"/>
      <c r="E26" s="175"/>
      <c r="F26" s="175"/>
      <c r="G26" s="171"/>
      <c r="H26" s="171"/>
      <c r="I26" s="175"/>
      <c r="J26" s="175"/>
      <c r="K26" s="175"/>
      <c r="L26" s="175"/>
      <c r="M26" s="175"/>
      <c r="N26" s="171"/>
      <c r="O26" s="171"/>
      <c r="P26" s="175"/>
      <c r="Q26" s="172"/>
      <c r="R26" s="172"/>
      <c r="S26" s="175"/>
      <c r="T26" s="171"/>
      <c r="U26" s="171"/>
      <c r="V26" s="171"/>
      <c r="W26" s="175"/>
      <c r="X26" s="175"/>
      <c r="Y26" s="175"/>
      <c r="Z26" s="171"/>
      <c r="AA26" s="175"/>
      <c r="AB26" s="175"/>
      <c r="AC26" s="171"/>
      <c r="AD26" s="175"/>
      <c r="AE26" s="175"/>
      <c r="AF26" s="171"/>
      <c r="AG26" s="171"/>
      <c r="AH26" s="169"/>
      <c r="AI26" s="165"/>
      <c r="AJ26" s="234"/>
    </row>
    <row r="27" spans="1:36">
      <c r="A27" s="166" t="s">
        <v>601</v>
      </c>
      <c r="B27" s="191"/>
      <c r="C27" s="175"/>
      <c r="D27" s="175"/>
      <c r="E27" s="175"/>
      <c r="F27" s="175"/>
      <c r="G27" s="171"/>
      <c r="H27" s="171"/>
      <c r="I27" s="175"/>
      <c r="J27" s="175"/>
      <c r="K27" s="175"/>
      <c r="L27" s="175"/>
      <c r="M27" s="175"/>
      <c r="N27" s="171"/>
      <c r="O27" s="171"/>
      <c r="P27" s="175"/>
      <c r="Q27" s="172"/>
      <c r="R27" s="172"/>
      <c r="S27" s="175"/>
      <c r="T27" s="171"/>
      <c r="U27" s="171"/>
      <c r="V27" s="171"/>
      <c r="W27" s="175"/>
      <c r="X27" s="175"/>
      <c r="Y27" s="175"/>
      <c r="Z27" s="171"/>
      <c r="AA27" s="175"/>
      <c r="AB27" s="175"/>
      <c r="AC27" s="171"/>
      <c r="AD27" s="175"/>
      <c r="AE27" s="175"/>
      <c r="AF27" s="171"/>
      <c r="AG27" s="171"/>
      <c r="AH27" s="169"/>
      <c r="AI27" s="165"/>
      <c r="AJ27" s="234"/>
    </row>
    <row r="28" spans="1:36">
      <c r="A28" s="166" t="s">
        <v>638</v>
      </c>
      <c r="B28" s="191"/>
      <c r="C28" s="175"/>
      <c r="D28" s="175"/>
      <c r="E28" s="175"/>
      <c r="F28" s="175"/>
      <c r="G28" s="171"/>
      <c r="H28" s="171"/>
      <c r="I28" s="175"/>
      <c r="J28" s="175"/>
      <c r="K28" s="175"/>
      <c r="L28" s="175"/>
      <c r="M28" s="175"/>
      <c r="N28" s="171"/>
      <c r="O28" s="171"/>
      <c r="P28" s="175"/>
      <c r="Q28" s="172"/>
      <c r="R28" s="172"/>
      <c r="S28" s="175"/>
      <c r="T28" s="171"/>
      <c r="U28" s="171"/>
      <c r="V28" s="171"/>
      <c r="W28" s="175"/>
      <c r="X28" s="175"/>
      <c r="Y28" s="175"/>
      <c r="Z28" s="171"/>
      <c r="AA28" s="175"/>
      <c r="AB28" s="175"/>
      <c r="AC28" s="171"/>
      <c r="AD28" s="175"/>
      <c r="AE28" s="175">
        <v>291474261</v>
      </c>
      <c r="AF28" s="171"/>
      <c r="AG28" s="171"/>
      <c r="AH28" s="169"/>
      <c r="AI28" s="165"/>
      <c r="AJ28" s="234"/>
    </row>
    <row r="29" spans="1:36">
      <c r="A29" s="166" t="s">
        <v>17</v>
      </c>
      <c r="B29" s="19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2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65"/>
      <c r="AJ29" s="234"/>
    </row>
    <row r="30" spans="1:36">
      <c r="A30" s="166" t="s">
        <v>18</v>
      </c>
      <c r="B30" s="191"/>
      <c r="C30" s="273"/>
      <c r="D30" s="273"/>
      <c r="E30" s="273"/>
      <c r="F30" s="273"/>
      <c r="G30" s="273"/>
      <c r="H30" s="171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165"/>
      <c r="AJ30" s="233"/>
    </row>
    <row r="31" spans="1:36">
      <c r="A31" s="166" t="s">
        <v>19</v>
      </c>
      <c r="B31" s="191"/>
      <c r="C31" s="273"/>
      <c r="D31" s="273"/>
      <c r="E31" s="273"/>
      <c r="F31" s="273"/>
      <c r="G31" s="273"/>
      <c r="H31" s="171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165"/>
      <c r="AJ31" s="233"/>
    </row>
    <row r="32" spans="1:36">
      <c r="A32" s="166" t="s">
        <v>530</v>
      </c>
      <c r="B32" s="191"/>
      <c r="C32" s="273"/>
      <c r="D32" s="273"/>
      <c r="E32" s="273"/>
      <c r="F32" s="171"/>
      <c r="G32" s="273"/>
      <c r="H32" s="171"/>
      <c r="I32" s="273"/>
      <c r="J32" s="273"/>
      <c r="K32" s="273"/>
      <c r="L32" s="273"/>
      <c r="M32" s="273"/>
      <c r="N32" s="273"/>
      <c r="O32" s="273"/>
      <c r="P32" s="273">
        <f>72390023-17228168</f>
        <v>55161855</v>
      </c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3"/>
      <c r="AE32" s="273"/>
      <c r="AF32" s="273"/>
      <c r="AG32" s="273"/>
      <c r="AH32" s="275"/>
      <c r="AI32" s="165"/>
      <c r="AJ32" s="233"/>
    </row>
    <row r="33" spans="1:36">
      <c r="A33" s="166" t="s">
        <v>43</v>
      </c>
      <c r="B33" s="191"/>
      <c r="C33" s="273"/>
      <c r="D33" s="273"/>
      <c r="E33" s="273"/>
      <c r="F33" s="171"/>
      <c r="G33" s="273"/>
      <c r="H33" s="171"/>
      <c r="I33" s="171"/>
      <c r="J33" s="273"/>
      <c r="K33" s="273"/>
      <c r="L33" s="171"/>
      <c r="M33" s="171"/>
      <c r="N33" s="273"/>
      <c r="O33" s="273"/>
      <c r="P33" s="171"/>
      <c r="Q33" s="273"/>
      <c r="R33" s="170"/>
      <c r="S33" s="273"/>
      <c r="T33" s="273"/>
      <c r="U33" s="171"/>
      <c r="V33" s="171"/>
      <c r="W33" s="273"/>
      <c r="X33" s="273"/>
      <c r="Y33" s="273"/>
      <c r="Z33" s="273"/>
      <c r="AA33" s="273"/>
      <c r="AB33" s="273"/>
      <c r="AC33" s="273"/>
      <c r="AD33" s="273"/>
      <c r="AE33" s="273"/>
      <c r="AF33" s="273"/>
      <c r="AG33" s="273"/>
      <c r="AH33" s="273"/>
      <c r="AI33" s="165"/>
      <c r="AJ33" s="233"/>
    </row>
    <row r="34" spans="1:36">
      <c r="A34" s="166" t="s">
        <v>318</v>
      </c>
      <c r="B34" s="191"/>
      <c r="C34" s="170"/>
      <c r="D34" s="170"/>
      <c r="E34" s="170"/>
      <c r="F34" s="171">
        <v>152096314</v>
      </c>
      <c r="G34" s="273"/>
      <c r="H34" s="171"/>
      <c r="I34" s="171"/>
      <c r="J34" s="170"/>
      <c r="K34" s="171"/>
      <c r="L34" s="171"/>
      <c r="M34" s="171">
        <v>47819029</v>
      </c>
      <c r="N34" s="171">
        <f>143616525</f>
        <v>143616525</v>
      </c>
      <c r="O34" s="273">
        <v>47154156</v>
      </c>
      <c r="P34" s="171">
        <v>70994192</v>
      </c>
      <c r="Q34" s="170"/>
      <c r="R34" s="273"/>
      <c r="S34" s="171"/>
      <c r="T34" s="171">
        <f>85083402-66053340</f>
        <v>19030062</v>
      </c>
      <c r="U34" s="171"/>
      <c r="V34" s="171"/>
      <c r="W34" s="170"/>
      <c r="X34" s="170"/>
      <c r="Y34" s="170"/>
      <c r="Z34" s="171"/>
      <c r="AA34" s="170"/>
      <c r="AB34" s="170"/>
      <c r="AC34" s="170"/>
      <c r="AD34" s="170"/>
      <c r="AE34" s="170"/>
      <c r="AF34" s="170"/>
      <c r="AG34" s="170"/>
      <c r="AH34" s="170"/>
      <c r="AI34" s="165"/>
      <c r="AJ34" s="233"/>
    </row>
    <row r="35" spans="1:36">
      <c r="A35" s="166" t="s">
        <v>447</v>
      </c>
      <c r="B35" s="191"/>
      <c r="C35" s="170"/>
      <c r="D35" s="170"/>
      <c r="E35" s="170"/>
      <c r="F35" s="171"/>
      <c r="G35" s="273"/>
      <c r="H35" s="171"/>
      <c r="I35" s="171"/>
      <c r="J35" s="170"/>
      <c r="K35" s="170"/>
      <c r="L35" s="171"/>
      <c r="M35" s="171"/>
      <c r="N35" s="170"/>
      <c r="O35" s="273"/>
      <c r="P35" s="171"/>
      <c r="Q35" s="170"/>
      <c r="R35" s="273"/>
      <c r="S35" s="171"/>
      <c r="T35" s="170"/>
      <c r="U35" s="171"/>
      <c r="V35" s="171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65"/>
      <c r="AJ35" s="233"/>
    </row>
    <row r="36" spans="1:36">
      <c r="A36" s="166" t="s">
        <v>348</v>
      </c>
      <c r="B36" s="191"/>
      <c r="C36" s="273"/>
      <c r="D36" s="273"/>
      <c r="E36" s="273"/>
      <c r="F36" s="273">
        <v>238630417</v>
      </c>
      <c r="G36" s="171"/>
      <c r="H36" s="171"/>
      <c r="I36" s="171"/>
      <c r="J36" s="273"/>
      <c r="K36" s="273"/>
      <c r="L36" s="273"/>
      <c r="M36" s="171"/>
      <c r="N36" s="273"/>
      <c r="O36" s="170"/>
      <c r="P36" s="171"/>
      <c r="Q36" s="273"/>
      <c r="R36" s="273"/>
      <c r="S36" s="171"/>
      <c r="T36" s="273"/>
      <c r="U36" s="171"/>
      <c r="V36" s="171"/>
      <c r="W36" s="273">
        <f>24882424-17501975</f>
        <v>7380449</v>
      </c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165"/>
      <c r="AJ36" s="235"/>
    </row>
    <row r="37" spans="1:36">
      <c r="A37" s="166" t="s">
        <v>354</v>
      </c>
      <c r="B37" s="191"/>
      <c r="C37" s="273">
        <v>137498202</v>
      </c>
      <c r="D37" s="273"/>
      <c r="E37" s="273"/>
      <c r="F37" s="273">
        <v>41313675</v>
      </c>
      <c r="G37" s="171"/>
      <c r="H37" s="171"/>
      <c r="I37" s="273">
        <v>48065034</v>
      </c>
      <c r="J37" s="273"/>
      <c r="K37" s="273"/>
      <c r="L37" s="273"/>
      <c r="M37" s="171"/>
      <c r="N37" s="273"/>
      <c r="O37" s="170"/>
      <c r="P37" s="273"/>
      <c r="Q37" s="273"/>
      <c r="R37" s="273"/>
      <c r="S37" s="171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165"/>
      <c r="AJ37" s="235"/>
    </row>
    <row r="38" spans="1:36">
      <c r="A38" s="166" t="s">
        <v>350</v>
      </c>
      <c r="B38" s="191"/>
      <c r="C38" s="273"/>
      <c r="D38" s="273"/>
      <c r="E38" s="273"/>
      <c r="F38" s="273"/>
      <c r="G38" s="273"/>
      <c r="H38" s="171"/>
      <c r="I38" s="273"/>
      <c r="J38" s="273"/>
      <c r="K38" s="273"/>
      <c r="L38" s="273"/>
      <c r="M38" s="171"/>
      <c r="N38" s="273"/>
      <c r="O38" s="170"/>
      <c r="P38" s="273"/>
      <c r="Q38" s="273"/>
      <c r="R38" s="170"/>
      <c r="S38" s="273"/>
      <c r="T38" s="273"/>
      <c r="U38" s="170"/>
      <c r="V38" s="170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165"/>
      <c r="AJ38" s="235"/>
    </row>
    <row r="39" spans="1:36">
      <c r="A39" s="166" t="s">
        <v>494</v>
      </c>
      <c r="B39" s="191"/>
      <c r="C39" s="273"/>
      <c r="D39" s="273"/>
      <c r="E39" s="273"/>
      <c r="F39" s="273"/>
      <c r="G39" s="273"/>
      <c r="H39" s="171"/>
      <c r="I39" s="273"/>
      <c r="J39" s="273"/>
      <c r="K39" s="273"/>
      <c r="L39" s="273"/>
      <c r="M39" s="171"/>
      <c r="N39" s="273"/>
      <c r="O39" s="170"/>
      <c r="P39" s="273"/>
      <c r="Q39" s="273"/>
      <c r="R39" s="170"/>
      <c r="S39" s="273"/>
      <c r="T39" s="273"/>
      <c r="U39" s="170"/>
      <c r="V39" s="170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165"/>
      <c r="AJ39" s="235"/>
    </row>
    <row r="40" spans="1:36">
      <c r="A40" s="166" t="s">
        <v>643</v>
      </c>
      <c r="B40" s="191"/>
      <c r="C40" s="273"/>
      <c r="D40" s="273"/>
      <c r="E40" s="273"/>
      <c r="F40" s="273"/>
      <c r="G40" s="273"/>
      <c r="H40" s="171"/>
      <c r="I40" s="273"/>
      <c r="J40" s="273"/>
      <c r="K40" s="273"/>
      <c r="L40" s="273"/>
      <c r="M40" s="171"/>
      <c r="N40" s="273"/>
      <c r="O40" s="170"/>
      <c r="P40" s="273"/>
      <c r="Q40" s="273"/>
      <c r="R40" s="170"/>
      <c r="S40" s="273"/>
      <c r="T40" s="273"/>
      <c r="U40" s="170"/>
      <c r="V40" s="170"/>
      <c r="W40" s="273"/>
      <c r="X40" s="273">
        <f>104955438-2099109</f>
        <v>102856329</v>
      </c>
      <c r="Y40" s="273"/>
      <c r="Z40" s="273"/>
      <c r="AA40" s="273">
        <v>106405029</v>
      </c>
      <c r="AB40" s="273"/>
      <c r="AC40" s="273">
        <v>210684987</v>
      </c>
      <c r="AD40" s="273"/>
      <c r="AE40" s="273"/>
      <c r="AF40" s="273"/>
      <c r="AG40" s="273"/>
      <c r="AH40" s="273"/>
      <c r="AI40" s="165"/>
      <c r="AJ40" s="235"/>
    </row>
    <row r="41" spans="1:36">
      <c r="A41" s="166" t="s">
        <v>637</v>
      </c>
      <c r="B41" s="191"/>
      <c r="C41" s="273"/>
      <c r="D41" s="273"/>
      <c r="E41" s="273"/>
      <c r="F41" s="273"/>
      <c r="G41" s="273"/>
      <c r="H41" s="171"/>
      <c r="I41" s="273"/>
      <c r="J41" s="273"/>
      <c r="K41" s="273"/>
      <c r="L41" s="273"/>
      <c r="M41" s="171"/>
      <c r="N41" s="273"/>
      <c r="O41" s="170"/>
      <c r="P41" s="273"/>
      <c r="Q41" s="273"/>
      <c r="R41" s="170"/>
      <c r="S41" s="273"/>
      <c r="T41" s="273"/>
      <c r="U41" s="170"/>
      <c r="V41" s="170"/>
      <c r="W41" s="273">
        <f>268246242-1089078-1238000</f>
        <v>265919164</v>
      </c>
      <c r="X41" s="273"/>
      <c r="Y41" s="273"/>
      <c r="Z41" s="273"/>
      <c r="AA41" s="273"/>
      <c r="AB41" s="273"/>
      <c r="AC41" s="273"/>
      <c r="AD41" s="273"/>
      <c r="AE41" s="273"/>
      <c r="AF41" s="273"/>
      <c r="AG41" s="273"/>
      <c r="AH41" s="273"/>
      <c r="AI41" s="165"/>
      <c r="AJ41" s="235"/>
    </row>
    <row r="42" spans="1:36">
      <c r="A42" s="166" t="s">
        <v>632</v>
      </c>
      <c r="B42" s="191"/>
      <c r="C42" s="273"/>
      <c r="D42" s="273"/>
      <c r="E42" s="273"/>
      <c r="F42" s="273"/>
      <c r="G42" s="273"/>
      <c r="H42" s="171"/>
      <c r="I42" s="273"/>
      <c r="J42" s="273"/>
      <c r="K42" s="273"/>
      <c r="L42" s="273"/>
      <c r="M42" s="171"/>
      <c r="N42" s="273"/>
      <c r="O42" s="170"/>
      <c r="P42" s="167"/>
      <c r="Q42" s="273"/>
      <c r="R42" s="170"/>
      <c r="S42" s="273"/>
      <c r="T42" s="167"/>
      <c r="U42" s="170"/>
      <c r="V42" s="167"/>
      <c r="W42" s="167"/>
      <c r="X42" s="167"/>
      <c r="Y42" s="167"/>
      <c r="Z42" s="273"/>
      <c r="AA42" s="273"/>
      <c r="AB42" s="167"/>
      <c r="AC42" s="273"/>
      <c r="AD42" s="167"/>
      <c r="AE42" s="167">
        <v>105135761</v>
      </c>
      <c r="AF42" s="273"/>
      <c r="AG42" s="273"/>
      <c r="AH42" s="273"/>
      <c r="AI42" s="165"/>
      <c r="AJ42" s="235"/>
    </row>
    <row r="43" spans="1:36">
      <c r="A43" s="166" t="s">
        <v>633</v>
      </c>
      <c r="B43" s="191"/>
      <c r="C43" s="273"/>
      <c r="D43" s="273"/>
      <c r="E43" s="273"/>
      <c r="F43" s="273"/>
      <c r="G43" s="273"/>
      <c r="H43" s="171"/>
      <c r="I43" s="273"/>
      <c r="J43" s="273"/>
      <c r="K43" s="273"/>
      <c r="L43" s="273"/>
      <c r="M43" s="171"/>
      <c r="N43" s="273"/>
      <c r="O43" s="170"/>
      <c r="P43" s="167"/>
      <c r="Q43" s="273"/>
      <c r="R43" s="170"/>
      <c r="S43" s="273"/>
      <c r="T43" s="167"/>
      <c r="U43" s="170"/>
      <c r="V43" s="167"/>
      <c r="W43" s="167"/>
      <c r="X43" s="167"/>
      <c r="Y43" s="167"/>
      <c r="Z43" s="273"/>
      <c r="AA43" s="273"/>
      <c r="AB43" s="167"/>
      <c r="AC43" s="273"/>
      <c r="AD43" s="167"/>
      <c r="AE43" s="167">
        <v>54202720</v>
      </c>
      <c r="AF43" s="273"/>
      <c r="AG43" s="273"/>
      <c r="AH43" s="273"/>
      <c r="AI43" s="165"/>
      <c r="AJ43" s="235"/>
    </row>
    <row r="44" spans="1:36">
      <c r="A44" s="166" t="s">
        <v>635</v>
      </c>
      <c r="B44" s="191"/>
      <c r="C44" s="273"/>
      <c r="D44" s="273"/>
      <c r="E44" s="273"/>
      <c r="F44" s="273"/>
      <c r="G44" s="273"/>
      <c r="H44" s="171"/>
      <c r="I44" s="273"/>
      <c r="J44" s="273"/>
      <c r="K44" s="273"/>
      <c r="L44" s="273"/>
      <c r="M44" s="171"/>
      <c r="N44" s="273"/>
      <c r="O44" s="170"/>
      <c r="P44" s="167"/>
      <c r="Q44" s="273"/>
      <c r="R44" s="170"/>
      <c r="S44" s="273"/>
      <c r="T44" s="167"/>
      <c r="U44" s="170"/>
      <c r="V44" s="167"/>
      <c r="W44" s="167"/>
      <c r="X44" s="167"/>
      <c r="Y44" s="167"/>
      <c r="Z44" s="273"/>
      <c r="AA44" s="273"/>
      <c r="AB44" s="167"/>
      <c r="AC44" s="273"/>
      <c r="AD44" s="167"/>
      <c r="AE44" s="167">
        <v>54453881</v>
      </c>
      <c r="AF44" s="273"/>
      <c r="AG44" s="273"/>
      <c r="AH44" s="273"/>
      <c r="AI44" s="165"/>
      <c r="AJ44" s="235"/>
    </row>
    <row r="45" spans="1:36">
      <c r="A45" s="166" t="s">
        <v>636</v>
      </c>
      <c r="B45" s="191"/>
      <c r="C45" s="273"/>
      <c r="D45" s="273"/>
      <c r="E45" s="273"/>
      <c r="F45" s="273"/>
      <c r="G45" s="273"/>
      <c r="H45" s="171"/>
      <c r="I45" s="273"/>
      <c r="J45" s="273"/>
      <c r="K45" s="273"/>
      <c r="L45" s="273"/>
      <c r="M45" s="171"/>
      <c r="N45" s="273"/>
      <c r="O45" s="170"/>
      <c r="P45" s="167"/>
      <c r="Q45" s="273"/>
      <c r="R45" s="170"/>
      <c r="S45" s="273"/>
      <c r="T45" s="167"/>
      <c r="U45" s="170"/>
      <c r="V45" s="167"/>
      <c r="W45" s="167"/>
      <c r="X45" s="167"/>
      <c r="Y45" s="167"/>
      <c r="Z45" s="273"/>
      <c r="AA45" s="273"/>
      <c r="AB45" s="167"/>
      <c r="AC45" s="273"/>
      <c r="AD45" s="167"/>
      <c r="AE45" s="167">
        <v>54453881</v>
      </c>
      <c r="AF45" s="273"/>
      <c r="AG45" s="273"/>
      <c r="AH45" s="273"/>
      <c r="AI45" s="165"/>
      <c r="AJ45" s="235"/>
    </row>
    <row r="46" spans="1:36">
      <c r="A46" s="166" t="s">
        <v>634</v>
      </c>
      <c r="B46" s="191"/>
      <c r="C46" s="273"/>
      <c r="D46" s="273"/>
      <c r="E46" s="273"/>
      <c r="F46" s="273"/>
      <c r="G46" s="273"/>
      <c r="H46" s="171"/>
      <c r="I46" s="273"/>
      <c r="J46" s="273"/>
      <c r="K46" s="273"/>
      <c r="L46" s="273"/>
      <c r="M46" s="171"/>
      <c r="N46" s="273"/>
      <c r="O46" s="170"/>
      <c r="P46" s="167"/>
      <c r="Q46" s="273"/>
      <c r="R46" s="170"/>
      <c r="S46" s="273"/>
      <c r="T46" s="167"/>
      <c r="U46" s="170"/>
      <c r="V46" s="168">
        <f>72991880-1459838</f>
        <v>71532042</v>
      </c>
      <c r="W46" s="168">
        <f>58154672-1163093</f>
        <v>56991579</v>
      </c>
      <c r="X46" s="167"/>
      <c r="Y46" s="167"/>
      <c r="Z46" s="273"/>
      <c r="AA46" s="273">
        <v>264162759</v>
      </c>
      <c r="AB46" s="167"/>
      <c r="AC46" s="273">
        <v>46221425</v>
      </c>
      <c r="AD46" s="168">
        <v>120268030</v>
      </c>
      <c r="AE46" s="167"/>
      <c r="AF46" s="273"/>
      <c r="AG46" s="273"/>
      <c r="AH46" s="273"/>
      <c r="AI46" s="165"/>
      <c r="AJ46" s="235"/>
    </row>
    <row r="47" spans="1:36">
      <c r="A47" s="166" t="s">
        <v>194</v>
      </c>
      <c r="B47" s="19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274"/>
      <c r="AI47" s="165"/>
      <c r="AJ47" s="234"/>
    </row>
    <row r="48" spans="1:36">
      <c r="A48" s="166" t="s">
        <v>192</v>
      </c>
      <c r="B48" s="19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274"/>
      <c r="AI48" s="165"/>
      <c r="AJ48" s="234">
        <f>SUM(AI47:AI48)</f>
        <v>0</v>
      </c>
    </row>
    <row r="49" spans="1:38">
      <c r="A49" s="166" t="s">
        <v>576</v>
      </c>
      <c r="B49" s="191"/>
      <c r="C49" s="175"/>
      <c r="D49" s="171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1"/>
      <c r="T49" s="175"/>
      <c r="U49" s="171"/>
      <c r="V49" s="175"/>
      <c r="W49" s="175"/>
      <c r="X49" s="175"/>
      <c r="Y49" s="175"/>
      <c r="Z49" s="175"/>
      <c r="AA49" s="175"/>
      <c r="AB49" s="175"/>
      <c r="AC49" s="171"/>
      <c r="AD49" s="175"/>
      <c r="AE49" s="175">
        <v>103374298</v>
      </c>
      <c r="AF49" s="171"/>
      <c r="AG49" s="171"/>
      <c r="AH49" s="274"/>
      <c r="AI49" s="165"/>
      <c r="AJ49" s="234"/>
      <c r="AK49" s="184"/>
      <c r="AL49" s="186">
        <f>6325269+60889034</f>
        <v>67214303</v>
      </c>
    </row>
    <row r="50" spans="1:38">
      <c r="A50" s="187" t="s">
        <v>327</v>
      </c>
      <c r="B50" s="191"/>
      <c r="C50" s="175"/>
      <c r="D50" s="171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1"/>
      <c r="T50" s="175"/>
      <c r="U50" s="171"/>
      <c r="V50" s="175"/>
      <c r="W50" s="175"/>
      <c r="X50" s="175"/>
      <c r="Y50" s="175"/>
      <c r="Z50" s="175"/>
      <c r="AA50" s="175"/>
      <c r="AB50" s="175"/>
      <c r="AC50" s="171"/>
      <c r="AD50" s="175"/>
      <c r="AE50" s="175">
        <v>61709422</v>
      </c>
      <c r="AF50" s="171"/>
      <c r="AG50" s="171"/>
      <c r="AH50" s="274"/>
      <c r="AI50" s="165"/>
      <c r="AJ50" s="234"/>
      <c r="AK50" s="184"/>
      <c r="AL50" s="186"/>
    </row>
    <row r="51" spans="1:38">
      <c r="A51" s="187" t="s">
        <v>328</v>
      </c>
      <c r="B51" s="191"/>
      <c r="C51" s="175"/>
      <c r="D51" s="171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1"/>
      <c r="T51" s="175"/>
      <c r="U51" s="171"/>
      <c r="V51" s="175"/>
      <c r="W51" s="175"/>
      <c r="X51" s="175"/>
      <c r="Y51" s="175"/>
      <c r="Z51" s="175"/>
      <c r="AA51" s="175"/>
      <c r="AB51" s="175"/>
      <c r="AC51" s="171"/>
      <c r="AD51" s="175"/>
      <c r="AE51" s="175">
        <v>316175655</v>
      </c>
      <c r="AF51" s="171"/>
      <c r="AG51" s="171"/>
      <c r="AH51" s="274"/>
      <c r="AI51" s="165"/>
      <c r="AJ51" s="234"/>
      <c r="AK51" s="184"/>
      <c r="AL51" s="185"/>
    </row>
    <row r="52" spans="1:38">
      <c r="A52" s="187" t="s">
        <v>330</v>
      </c>
      <c r="B52" s="191"/>
      <c r="C52" s="175"/>
      <c r="D52" s="171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1"/>
      <c r="T52" s="175"/>
      <c r="U52" s="171"/>
      <c r="V52" s="175"/>
      <c r="W52" s="175"/>
      <c r="X52" s="175"/>
      <c r="Y52" s="175"/>
      <c r="Z52" s="175"/>
      <c r="AA52" s="175"/>
      <c r="AB52" s="175"/>
      <c r="AC52" s="171"/>
      <c r="AD52" s="175"/>
      <c r="AE52" s="175">
        <v>416002400</v>
      </c>
      <c r="AF52" s="171"/>
      <c r="AG52" s="171"/>
      <c r="AH52" s="274"/>
      <c r="AI52" s="165"/>
      <c r="AJ52" s="234">
        <f>SUM(AI49:AI52)</f>
        <v>0</v>
      </c>
      <c r="AK52" s="184"/>
      <c r="AL52" s="185"/>
    </row>
    <row r="53" spans="1:38">
      <c r="A53" s="166" t="s">
        <v>24</v>
      </c>
      <c r="B53" s="19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2"/>
      <c r="Q53" s="171"/>
      <c r="R53" s="171"/>
      <c r="S53" s="171"/>
      <c r="T53" s="171"/>
      <c r="U53" s="170"/>
      <c r="V53" s="171"/>
      <c r="W53" s="171"/>
      <c r="X53" s="171"/>
      <c r="Y53" s="171"/>
      <c r="Z53" s="171"/>
      <c r="AA53" s="171">
        <v>1873622</v>
      </c>
      <c r="AB53" s="171"/>
      <c r="AC53" s="171"/>
      <c r="AD53" s="172"/>
      <c r="AE53" s="171"/>
      <c r="AF53" s="171"/>
      <c r="AG53" s="171"/>
      <c r="AH53" s="171"/>
      <c r="AI53" s="165"/>
      <c r="AJ53" s="235"/>
      <c r="AK53" s="189"/>
    </row>
    <row r="54" spans="1:38">
      <c r="A54" s="166" t="s">
        <v>618</v>
      </c>
      <c r="B54" s="191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1">
        <f>14688036-2937000</f>
        <v>11751036</v>
      </c>
      <c r="P54" s="172">
        <f>265643250</f>
        <v>265643250</v>
      </c>
      <c r="Q54" s="175"/>
      <c r="R54" s="175"/>
      <c r="S54" s="175"/>
      <c r="T54" s="175"/>
      <c r="U54" s="171"/>
      <c r="V54" s="175"/>
      <c r="W54" s="175"/>
      <c r="X54" s="175"/>
      <c r="Y54" s="175"/>
      <c r="Z54" s="175"/>
      <c r="AA54" s="175"/>
      <c r="AB54" s="175"/>
      <c r="AC54" s="171">
        <v>109981839</v>
      </c>
      <c r="AD54" s="172">
        <v>885016</v>
      </c>
      <c r="AE54" s="175"/>
      <c r="AF54" s="171"/>
      <c r="AG54" s="171"/>
      <c r="AH54" s="171"/>
      <c r="AI54" s="165"/>
      <c r="AJ54" s="234"/>
      <c r="AK54" s="189"/>
    </row>
    <row r="55" spans="1:38">
      <c r="A55" s="166" t="s">
        <v>493</v>
      </c>
      <c r="B55" s="19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2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2"/>
      <c r="AE55" s="171"/>
      <c r="AF55" s="171"/>
      <c r="AG55" s="171"/>
      <c r="AH55" s="171"/>
      <c r="AI55" s="165"/>
      <c r="AJ55" s="234"/>
      <c r="AK55" s="189"/>
    </row>
    <row r="56" spans="1:38">
      <c r="A56" s="166" t="s">
        <v>333</v>
      </c>
      <c r="B56" s="191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273"/>
      <c r="AD56" s="168"/>
      <c r="AE56" s="167">
        <v>61003007</v>
      </c>
      <c r="AF56" s="273"/>
      <c r="AG56" s="273"/>
      <c r="AH56" s="275"/>
      <c r="AI56" s="165"/>
      <c r="AJ56" s="233"/>
    </row>
    <row r="57" spans="1:38">
      <c r="A57" s="166" t="s">
        <v>539</v>
      </c>
      <c r="B57" s="191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273"/>
      <c r="AD57" s="167"/>
      <c r="AE57" s="167">
        <f>127319117+12869993+149745116</f>
        <v>289934226</v>
      </c>
      <c r="AF57" s="273"/>
      <c r="AG57" s="273"/>
      <c r="AH57" s="275"/>
      <c r="AI57" s="165"/>
      <c r="AJ57" s="233"/>
    </row>
    <row r="58" spans="1:38">
      <c r="A58" s="166" t="s">
        <v>336</v>
      </c>
      <c r="B58" s="191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273"/>
      <c r="AD58" s="167"/>
      <c r="AE58" s="167">
        <v>30744983</v>
      </c>
      <c r="AF58" s="273"/>
      <c r="AG58" s="273"/>
      <c r="AH58" s="275"/>
      <c r="AI58" s="165"/>
      <c r="AJ58" s="233">
        <f>SUM(AI56:AI58)</f>
        <v>0</v>
      </c>
    </row>
    <row r="59" spans="1:38">
      <c r="A59" s="166" t="s">
        <v>337</v>
      </c>
      <c r="B59" s="191"/>
      <c r="C59" s="273"/>
      <c r="D59" s="273"/>
      <c r="E59" s="273"/>
      <c r="F59" s="273"/>
      <c r="G59" s="273"/>
      <c r="H59" s="171"/>
      <c r="I59" s="171"/>
      <c r="J59" s="273">
        <f>151864889-3037298</f>
        <v>148827591</v>
      </c>
      <c r="K59" s="273"/>
      <c r="L59" s="273"/>
      <c r="M59" s="273"/>
      <c r="N59" s="273"/>
      <c r="O59" s="273"/>
      <c r="P59" s="273"/>
      <c r="Q59" s="273"/>
      <c r="R59" s="273"/>
      <c r="S59" s="273"/>
      <c r="T59" s="273"/>
      <c r="U59" s="273"/>
      <c r="V59" s="273"/>
      <c r="W59" s="273"/>
      <c r="X59" s="273"/>
      <c r="Y59" s="273"/>
      <c r="Z59" s="168"/>
      <c r="AA59" s="168"/>
      <c r="AB59" s="273"/>
      <c r="AC59" s="273"/>
      <c r="AD59" s="273"/>
      <c r="AE59" s="273"/>
      <c r="AF59" s="273"/>
      <c r="AG59" s="273"/>
      <c r="AH59" s="273"/>
      <c r="AI59" s="165"/>
      <c r="AJ59" s="233"/>
    </row>
    <row r="60" spans="1:38">
      <c r="A60" s="166" t="s">
        <v>614</v>
      </c>
      <c r="B60" s="191"/>
      <c r="C60" s="273"/>
      <c r="D60" s="273"/>
      <c r="E60" s="273"/>
      <c r="F60" s="273"/>
      <c r="G60" s="273"/>
      <c r="H60" s="171"/>
      <c r="I60" s="171"/>
      <c r="J60" s="273"/>
      <c r="K60" s="273"/>
      <c r="L60" s="273"/>
      <c r="M60" s="273"/>
      <c r="N60" s="273"/>
      <c r="O60" s="273"/>
      <c r="P60" s="273">
        <f>76557600-1531152</f>
        <v>75026448</v>
      </c>
      <c r="Q60" s="273"/>
      <c r="R60" s="273"/>
      <c r="S60" s="273"/>
      <c r="T60" s="273"/>
      <c r="U60" s="273"/>
      <c r="V60" s="273"/>
      <c r="W60" s="273"/>
      <c r="X60" s="273"/>
      <c r="Y60" s="273"/>
      <c r="Z60" s="168"/>
      <c r="AA60" s="168"/>
      <c r="AB60" s="273"/>
      <c r="AC60" s="273"/>
      <c r="AD60" s="273"/>
      <c r="AE60" s="273"/>
      <c r="AF60" s="273"/>
      <c r="AG60" s="273"/>
      <c r="AH60" s="273"/>
      <c r="AI60" s="165"/>
      <c r="AJ60" s="233"/>
    </row>
    <row r="61" spans="1:38">
      <c r="A61" s="166" t="s">
        <v>616</v>
      </c>
      <c r="B61" s="191"/>
      <c r="C61" s="273"/>
      <c r="D61" s="273"/>
      <c r="E61" s="273"/>
      <c r="F61" s="273"/>
      <c r="G61" s="273">
        <v>145388563</v>
      </c>
      <c r="H61" s="171"/>
      <c r="I61" s="171">
        <v>138970164</v>
      </c>
      <c r="J61" s="273"/>
      <c r="K61" s="273"/>
      <c r="L61" s="273"/>
      <c r="M61" s="273">
        <v>88969182</v>
      </c>
      <c r="N61" s="273"/>
      <c r="O61" s="273"/>
      <c r="P61" s="273"/>
      <c r="Q61" s="273"/>
      <c r="R61" s="273"/>
      <c r="S61" s="273"/>
      <c r="T61" s="273">
        <v>139916123</v>
      </c>
      <c r="U61" s="273"/>
      <c r="V61" s="273"/>
      <c r="W61" s="273"/>
      <c r="X61" s="273"/>
      <c r="Y61" s="273"/>
      <c r="Z61" s="168"/>
      <c r="AA61" s="168">
        <v>150595511</v>
      </c>
      <c r="AB61" s="273"/>
      <c r="AC61" s="273">
        <v>67413907</v>
      </c>
      <c r="AD61" s="273"/>
      <c r="AE61" s="273"/>
      <c r="AF61" s="273"/>
      <c r="AG61" s="273"/>
      <c r="AH61" s="273"/>
      <c r="AI61" s="165"/>
      <c r="AJ61" s="233"/>
    </row>
    <row r="62" spans="1:38">
      <c r="A62" s="166" t="s">
        <v>27</v>
      </c>
      <c r="B62" s="191"/>
      <c r="C62" s="273"/>
      <c r="D62" s="273"/>
      <c r="E62" s="273"/>
      <c r="F62" s="273"/>
      <c r="G62" s="273"/>
      <c r="H62" s="171"/>
      <c r="I62" s="171"/>
      <c r="J62" s="273"/>
      <c r="K62" s="273"/>
      <c r="L62" s="273"/>
      <c r="M62" s="273"/>
      <c r="N62" s="273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273"/>
      <c r="AC62" s="273"/>
      <c r="AD62" s="273"/>
      <c r="AE62" s="273"/>
      <c r="AF62" s="273"/>
      <c r="AG62" s="273"/>
      <c r="AH62" s="273"/>
      <c r="AI62" s="165"/>
      <c r="AJ62" s="233"/>
    </row>
    <row r="63" spans="1:38">
      <c r="A63" s="187" t="s">
        <v>422</v>
      </c>
      <c r="B63" s="191"/>
      <c r="C63" s="273"/>
      <c r="D63" s="273"/>
      <c r="E63" s="273"/>
      <c r="F63" s="273"/>
      <c r="G63" s="273"/>
      <c r="H63" s="171"/>
      <c r="I63" s="171"/>
      <c r="J63" s="273"/>
      <c r="K63" s="273"/>
      <c r="L63" s="273"/>
      <c r="M63" s="273"/>
      <c r="N63" s="273"/>
      <c r="O63" s="273"/>
      <c r="P63" s="273"/>
      <c r="Q63" s="273"/>
      <c r="R63" s="273"/>
      <c r="S63" s="273"/>
      <c r="T63" s="273"/>
      <c r="U63" s="273"/>
      <c r="V63" s="273"/>
      <c r="W63" s="273"/>
      <c r="X63" s="273"/>
      <c r="Y63" s="273"/>
      <c r="Z63" s="273"/>
      <c r="AA63" s="273"/>
      <c r="AB63" s="273"/>
      <c r="AC63" s="273"/>
      <c r="AD63" s="273"/>
      <c r="AE63" s="273"/>
      <c r="AF63" s="273"/>
      <c r="AG63" s="273"/>
      <c r="AH63" s="273"/>
      <c r="AI63" s="165"/>
      <c r="AJ63" s="233"/>
    </row>
    <row r="64" spans="1:38">
      <c r="A64" s="187" t="s">
        <v>423</v>
      </c>
      <c r="B64" s="191"/>
      <c r="C64" s="273"/>
      <c r="D64" s="273"/>
      <c r="E64" s="273"/>
      <c r="F64" s="273"/>
      <c r="G64" s="273"/>
      <c r="H64" s="171"/>
      <c r="I64" s="171"/>
      <c r="J64" s="273"/>
      <c r="K64" s="273"/>
      <c r="L64" s="273"/>
      <c r="M64" s="273"/>
      <c r="N64" s="273"/>
      <c r="O64" s="273"/>
      <c r="P64" s="273"/>
      <c r="Q64" s="273"/>
      <c r="R64" s="273"/>
      <c r="S64" s="273"/>
      <c r="T64" s="273"/>
      <c r="U64" s="273"/>
      <c r="V64" s="273"/>
      <c r="W64" s="273"/>
      <c r="X64" s="273"/>
      <c r="Y64" s="273"/>
      <c r="Z64" s="273"/>
      <c r="AA64" s="273"/>
      <c r="AB64" s="273"/>
      <c r="AC64" s="273"/>
      <c r="AD64" s="273"/>
      <c r="AE64" s="273"/>
      <c r="AF64" s="273"/>
      <c r="AG64" s="273"/>
      <c r="AH64" s="273"/>
      <c r="AI64" s="165"/>
      <c r="AJ64" s="233"/>
    </row>
    <row r="65" spans="1:36">
      <c r="A65" s="187" t="s">
        <v>424</v>
      </c>
      <c r="B65" s="191"/>
      <c r="C65" s="273"/>
      <c r="D65" s="273"/>
      <c r="E65" s="273"/>
      <c r="F65" s="273"/>
      <c r="G65" s="273"/>
      <c r="H65" s="171"/>
      <c r="I65" s="171"/>
      <c r="J65" s="273"/>
      <c r="K65" s="273"/>
      <c r="L65" s="171"/>
      <c r="M65" s="171"/>
      <c r="N65" s="273"/>
      <c r="O65" s="273"/>
      <c r="P65" s="273"/>
      <c r="Q65" s="273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273"/>
      <c r="AC65" s="273"/>
      <c r="AD65" s="273"/>
      <c r="AE65" s="273"/>
      <c r="AF65" s="273"/>
      <c r="AG65" s="273"/>
      <c r="AH65" s="273"/>
      <c r="AI65" s="165"/>
      <c r="AJ65" s="233"/>
    </row>
    <row r="66" spans="1:36">
      <c r="A66" s="166" t="s">
        <v>30</v>
      </c>
      <c r="B66" s="191"/>
      <c r="C66" s="273"/>
      <c r="D66" s="170"/>
      <c r="E66" s="273"/>
      <c r="F66" s="273"/>
      <c r="G66" s="273"/>
      <c r="H66" s="171"/>
      <c r="I66" s="171"/>
      <c r="J66" s="170"/>
      <c r="K66" s="171"/>
      <c r="L66" s="171"/>
      <c r="M66" s="171"/>
      <c r="N66" s="170"/>
      <c r="O66" s="170"/>
      <c r="P66" s="170"/>
      <c r="Q66" s="170"/>
      <c r="R66" s="170"/>
      <c r="S66" s="170"/>
      <c r="T66" s="170"/>
      <c r="U66" s="273"/>
      <c r="V66" s="273"/>
      <c r="W66" s="170"/>
      <c r="X66" s="170"/>
      <c r="Y66" s="170"/>
      <c r="Z66" s="171"/>
      <c r="AA66" s="171"/>
      <c r="AB66" s="170"/>
      <c r="AC66" s="273"/>
      <c r="AD66" s="170"/>
      <c r="AE66" s="170"/>
      <c r="AF66" s="273"/>
      <c r="AG66" s="170"/>
      <c r="AH66" s="170"/>
      <c r="AI66" s="165"/>
      <c r="AJ66" s="170"/>
    </row>
    <row r="67" spans="1:36">
      <c r="A67" s="166" t="s">
        <v>347</v>
      </c>
      <c r="B67" s="191"/>
      <c r="C67" s="273"/>
      <c r="D67" s="170"/>
      <c r="E67" s="273"/>
      <c r="F67" s="273"/>
      <c r="G67" s="273"/>
      <c r="H67" s="171"/>
      <c r="I67" s="171"/>
      <c r="J67" s="170"/>
      <c r="K67" s="171"/>
      <c r="L67" s="171"/>
      <c r="M67" s="171"/>
      <c r="N67" s="170"/>
      <c r="O67" s="170"/>
      <c r="P67" s="170"/>
      <c r="Q67" s="170"/>
      <c r="R67" s="170"/>
      <c r="S67" s="170"/>
      <c r="T67" s="170"/>
      <c r="U67" s="273"/>
      <c r="V67" s="273"/>
      <c r="W67" s="171"/>
      <c r="X67" s="171"/>
      <c r="Y67" s="171"/>
      <c r="Z67" s="273"/>
      <c r="AA67" s="273"/>
      <c r="AB67" s="171"/>
      <c r="AC67" s="273"/>
      <c r="AD67" s="171"/>
      <c r="AE67" s="171"/>
      <c r="AF67" s="273"/>
      <c r="AG67" s="170"/>
      <c r="AH67" s="170"/>
      <c r="AI67" s="165"/>
      <c r="AJ67" s="170"/>
    </row>
    <row r="68" spans="1:36">
      <c r="A68" s="192" t="s">
        <v>476</v>
      </c>
      <c r="B68" s="191"/>
      <c r="C68" s="273"/>
      <c r="D68" s="273"/>
      <c r="E68" s="273"/>
      <c r="F68" s="273"/>
      <c r="G68" s="273"/>
      <c r="H68" s="171"/>
      <c r="I68" s="171"/>
      <c r="J68" s="273"/>
      <c r="K68" s="171"/>
      <c r="L68" s="171"/>
      <c r="M68" s="171"/>
      <c r="N68" s="273"/>
      <c r="O68" s="273"/>
      <c r="P68" s="273"/>
      <c r="Q68" s="273"/>
      <c r="R68" s="273"/>
      <c r="S68" s="273"/>
      <c r="T68" s="273"/>
      <c r="U68" s="273"/>
      <c r="V68" s="273"/>
      <c r="W68" s="273"/>
      <c r="X68" s="273"/>
      <c r="Y68" s="273"/>
      <c r="Z68" s="273"/>
      <c r="AA68" s="273"/>
      <c r="AB68" s="273"/>
      <c r="AC68" s="273"/>
      <c r="AD68" s="273"/>
      <c r="AE68" s="273"/>
      <c r="AF68" s="273"/>
      <c r="AG68" s="273"/>
      <c r="AH68" s="273"/>
      <c r="AI68" s="165"/>
      <c r="AJ68" s="167"/>
    </row>
    <row r="69" spans="1:36">
      <c r="A69" s="192" t="s">
        <v>646</v>
      </c>
      <c r="B69" s="191"/>
      <c r="C69" s="273"/>
      <c r="D69" s="273"/>
      <c r="E69" s="273"/>
      <c r="F69" s="273"/>
      <c r="G69" s="273"/>
      <c r="H69" s="171"/>
      <c r="I69" s="171"/>
      <c r="J69" s="273"/>
      <c r="K69" s="171"/>
      <c r="L69" s="171"/>
      <c r="M69" s="171"/>
      <c r="N69" s="273"/>
      <c r="O69" s="273"/>
      <c r="P69" s="273"/>
      <c r="Q69" s="273"/>
      <c r="R69" s="273"/>
      <c r="S69" s="273"/>
      <c r="T69" s="273"/>
      <c r="U69" s="273"/>
      <c r="V69" s="273"/>
      <c r="W69" s="273"/>
      <c r="X69" s="273"/>
      <c r="Y69" s="273"/>
      <c r="Z69" s="273"/>
      <c r="AA69" s="273">
        <v>375000000</v>
      </c>
      <c r="AB69" s="273"/>
      <c r="AC69" s="273">
        <v>332528362</v>
      </c>
      <c r="AD69" s="273"/>
      <c r="AE69" s="273"/>
      <c r="AF69" s="273"/>
      <c r="AG69" s="273"/>
      <c r="AH69" s="273"/>
      <c r="AI69" s="165"/>
      <c r="AJ69" s="167"/>
    </row>
    <row r="70" spans="1:36">
      <c r="A70" s="192" t="s">
        <v>647</v>
      </c>
      <c r="B70" s="191"/>
      <c r="C70" s="273"/>
      <c r="D70" s="273"/>
      <c r="E70" s="273"/>
      <c r="F70" s="273"/>
      <c r="G70" s="273"/>
      <c r="H70" s="171"/>
      <c r="I70" s="171"/>
      <c r="J70" s="273"/>
      <c r="K70" s="171"/>
      <c r="L70" s="171"/>
      <c r="M70" s="171"/>
      <c r="N70" s="273"/>
      <c r="O70" s="273"/>
      <c r="P70" s="273"/>
      <c r="Q70" s="273"/>
      <c r="R70" s="273"/>
      <c r="S70" s="273"/>
      <c r="T70" s="273"/>
      <c r="U70" s="273"/>
      <c r="V70" s="273"/>
      <c r="W70" s="273"/>
      <c r="X70" s="273"/>
      <c r="Y70" s="273"/>
      <c r="Z70" s="273"/>
      <c r="AA70" s="273">
        <v>375000000</v>
      </c>
      <c r="AB70" s="273"/>
      <c r="AC70" s="273"/>
      <c r="AD70" s="273"/>
      <c r="AE70" s="273"/>
      <c r="AF70" s="273"/>
      <c r="AG70" s="273"/>
      <c r="AH70" s="273"/>
      <c r="AI70" s="165"/>
      <c r="AJ70" s="167"/>
    </row>
    <row r="71" spans="1:36">
      <c r="A71" s="192" t="s">
        <v>602</v>
      </c>
      <c r="B71" s="191"/>
      <c r="C71" s="175"/>
      <c r="D71" s="273"/>
      <c r="E71" s="273"/>
      <c r="F71" s="175"/>
      <c r="G71" s="175"/>
      <c r="H71" s="175"/>
      <c r="I71" s="175"/>
      <c r="J71" s="175"/>
      <c r="K71" s="171"/>
      <c r="L71" s="171"/>
      <c r="M71" s="175"/>
      <c r="N71" s="175"/>
      <c r="O71" s="175"/>
      <c r="P71" s="175"/>
      <c r="Q71" s="171"/>
      <c r="R71" s="175"/>
      <c r="S71" s="171"/>
      <c r="T71" s="175"/>
      <c r="U71" s="175">
        <f>500000000+500000000+700000000</f>
        <v>1700000000</v>
      </c>
      <c r="V71" s="175"/>
      <c r="W71" s="175"/>
      <c r="X71" s="175"/>
      <c r="Y71" s="175"/>
      <c r="Z71" s="175"/>
      <c r="AA71" s="175"/>
      <c r="AB71" s="175"/>
      <c r="AC71" s="273"/>
      <c r="AD71" s="175"/>
      <c r="AE71" s="175">
        <f>500000000+500000000+700000000</f>
        <v>1700000000</v>
      </c>
      <c r="AF71" s="273"/>
      <c r="AG71" s="273"/>
      <c r="AH71" s="273"/>
      <c r="AI71" s="165"/>
      <c r="AJ71" s="167"/>
    </row>
    <row r="72" spans="1:36">
      <c r="A72" s="192" t="s">
        <v>213</v>
      </c>
      <c r="B72" s="191"/>
      <c r="C72" s="273"/>
      <c r="D72" s="273"/>
      <c r="E72" s="273"/>
      <c r="F72" s="273">
        <v>500000000</v>
      </c>
      <c r="G72" s="273"/>
      <c r="H72" s="273"/>
      <c r="I72" s="273">
        <v>500000000</v>
      </c>
      <c r="J72" s="273"/>
      <c r="K72" s="273"/>
      <c r="L72" s="171"/>
      <c r="M72" s="273"/>
      <c r="N72" s="273"/>
      <c r="O72" s="273"/>
      <c r="P72" s="273"/>
      <c r="Q72" s="273"/>
      <c r="R72" s="273"/>
      <c r="S72" s="273"/>
      <c r="T72" s="273">
        <v>2000000000</v>
      </c>
      <c r="U72" s="171"/>
      <c r="V72" s="171"/>
      <c r="W72" s="273"/>
      <c r="X72" s="273"/>
      <c r="Y72" s="273"/>
      <c r="Z72" s="273"/>
      <c r="AA72" s="273">
        <v>2500000000</v>
      </c>
      <c r="AB72" s="273"/>
      <c r="AC72" s="273"/>
      <c r="AD72" s="273"/>
      <c r="AE72" s="273"/>
      <c r="AF72" s="273"/>
      <c r="AG72" s="273"/>
      <c r="AH72" s="273"/>
      <c r="AI72" s="165"/>
      <c r="AJ72" s="167"/>
    </row>
    <row r="73" spans="1:36">
      <c r="A73" s="192" t="s">
        <v>613</v>
      </c>
      <c r="B73" s="191"/>
      <c r="C73" s="273"/>
      <c r="D73" s="273"/>
      <c r="E73" s="273"/>
      <c r="F73" s="273"/>
      <c r="G73" s="273"/>
      <c r="H73" s="273"/>
      <c r="I73" s="273"/>
      <c r="J73" s="273"/>
      <c r="K73" s="273"/>
      <c r="L73" s="171"/>
      <c r="M73" s="273"/>
      <c r="N73" s="273"/>
      <c r="O73" s="273"/>
      <c r="P73" s="273"/>
      <c r="Q73" s="273"/>
      <c r="R73" s="273"/>
      <c r="S73" s="273"/>
      <c r="T73" s="273"/>
      <c r="U73" s="171"/>
      <c r="V73" s="171"/>
      <c r="W73" s="273"/>
      <c r="X73" s="273"/>
      <c r="Y73" s="273"/>
      <c r="Z73" s="273"/>
      <c r="AA73" s="273"/>
      <c r="AB73" s="273"/>
      <c r="AC73" s="273"/>
      <c r="AD73" s="273"/>
      <c r="AE73" s="273"/>
      <c r="AF73" s="273"/>
      <c r="AG73" s="273"/>
      <c r="AH73" s="273"/>
      <c r="AI73" s="165"/>
      <c r="AJ73" s="167"/>
    </row>
    <row r="74" spans="1:36">
      <c r="A74" s="192" t="s">
        <v>119</v>
      </c>
      <c r="B74" s="191"/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1"/>
      <c r="AD74" s="175"/>
      <c r="AE74" s="175">
        <v>5500000000</v>
      </c>
      <c r="AF74" s="171"/>
      <c r="AG74" s="171"/>
      <c r="AH74" s="171"/>
      <c r="AI74" s="165"/>
      <c r="AJ74" s="175"/>
    </row>
    <row r="75" spans="1:36">
      <c r="A75" s="195" t="s">
        <v>32</v>
      </c>
      <c r="B75" s="196"/>
      <c r="C75" s="197">
        <f t="shared" ref="C75:AI75" si="0">SUM(C7:C74)</f>
        <v>137498202</v>
      </c>
      <c r="D75" s="197">
        <f t="shared" si="0"/>
        <v>0</v>
      </c>
      <c r="E75" s="197">
        <f t="shared" si="0"/>
        <v>0</v>
      </c>
      <c r="F75" s="197">
        <f t="shared" si="0"/>
        <v>937476706</v>
      </c>
      <c r="G75" s="197">
        <f t="shared" si="0"/>
        <v>145388563</v>
      </c>
      <c r="H75" s="197">
        <f t="shared" si="0"/>
        <v>277606791</v>
      </c>
      <c r="I75" s="197">
        <f t="shared" si="0"/>
        <v>687035198</v>
      </c>
      <c r="J75" s="197">
        <f t="shared" si="0"/>
        <v>286909929</v>
      </c>
      <c r="K75" s="197">
        <f t="shared" si="0"/>
        <v>0</v>
      </c>
      <c r="L75" s="197">
        <f t="shared" si="0"/>
        <v>0</v>
      </c>
      <c r="M75" s="197">
        <f t="shared" si="0"/>
        <v>136788211</v>
      </c>
      <c r="N75" s="197">
        <f t="shared" si="0"/>
        <v>327376707</v>
      </c>
      <c r="O75" s="197">
        <f t="shared" si="0"/>
        <v>58905192</v>
      </c>
      <c r="P75" s="197">
        <f t="shared" si="0"/>
        <v>2440997230</v>
      </c>
      <c r="Q75" s="197">
        <f t="shared" si="0"/>
        <v>0</v>
      </c>
      <c r="R75" s="197">
        <f t="shared" si="0"/>
        <v>0</v>
      </c>
      <c r="S75" s="197">
        <f t="shared" si="0"/>
        <v>0</v>
      </c>
      <c r="T75" s="197">
        <f t="shared" si="0"/>
        <v>2158946185</v>
      </c>
      <c r="U75" s="197">
        <f t="shared" si="0"/>
        <v>1846013961</v>
      </c>
      <c r="V75" s="197">
        <f t="shared" si="0"/>
        <v>71532042</v>
      </c>
      <c r="W75" s="197">
        <f t="shared" si="0"/>
        <v>437711165</v>
      </c>
      <c r="X75" s="197">
        <f t="shared" si="0"/>
        <v>102856329</v>
      </c>
      <c r="Y75" s="197">
        <f t="shared" si="0"/>
        <v>0</v>
      </c>
      <c r="Z75" s="197">
        <f t="shared" si="0"/>
        <v>0</v>
      </c>
      <c r="AA75" s="197">
        <f t="shared" si="0"/>
        <v>4313342533</v>
      </c>
      <c r="AB75" s="197">
        <f t="shared" si="0"/>
        <v>0</v>
      </c>
      <c r="AC75" s="197">
        <f t="shared" si="0"/>
        <v>766830520</v>
      </c>
      <c r="AD75" s="197">
        <f t="shared" si="0"/>
        <v>121153046</v>
      </c>
      <c r="AE75" s="197">
        <f t="shared" si="0"/>
        <v>11936793382</v>
      </c>
      <c r="AF75" s="197">
        <f t="shared" si="0"/>
        <v>0</v>
      </c>
      <c r="AG75" s="197">
        <f t="shared" si="0"/>
        <v>0</v>
      </c>
      <c r="AH75" s="197">
        <f t="shared" si="0"/>
        <v>0</v>
      </c>
      <c r="AI75" s="197">
        <f t="shared" si="0"/>
        <v>0</v>
      </c>
    </row>
    <row r="76" spans="1:36">
      <c r="A76" s="199"/>
      <c r="B76" s="162"/>
      <c r="C76" s="200"/>
      <c r="D76" s="200"/>
      <c r="E76" s="165"/>
      <c r="F76" s="165"/>
      <c r="G76" s="165"/>
      <c r="H76" s="165"/>
      <c r="I76" s="165"/>
      <c r="J76" s="200"/>
      <c r="K76" s="200"/>
      <c r="L76" s="165"/>
      <c r="M76" s="165"/>
      <c r="N76" s="165"/>
      <c r="O76" s="200"/>
      <c r="P76" s="165"/>
      <c r="Q76" s="165"/>
      <c r="R76" s="165"/>
      <c r="S76" s="165"/>
      <c r="T76" s="165"/>
      <c r="U76" s="165"/>
      <c r="V76" s="165"/>
      <c r="W76" s="190">
        <v>0</v>
      </c>
      <c r="X76" s="190">
        <v>0</v>
      </c>
      <c r="Y76" s="190">
        <v>0</v>
      </c>
      <c r="Z76" s="190">
        <v>0</v>
      </c>
      <c r="AA76" s="190">
        <v>0</v>
      </c>
      <c r="AB76" s="190">
        <v>0</v>
      </c>
      <c r="AC76" s="165"/>
      <c r="AD76" s="165"/>
      <c r="AE76" s="165"/>
      <c r="AF76" s="165"/>
      <c r="AG76" s="165"/>
      <c r="AH76" s="165"/>
      <c r="AI76" s="201"/>
      <c r="AJ76" s="154"/>
    </row>
    <row r="77" spans="1:36">
      <c r="A77" s="202" t="s">
        <v>33</v>
      </c>
      <c r="B77" s="162"/>
      <c r="C77" s="165"/>
      <c r="D77" s="200"/>
      <c r="E77" s="165"/>
      <c r="F77" s="165"/>
      <c r="G77" s="200"/>
      <c r="H77" s="200"/>
      <c r="I77" s="165"/>
      <c r="J77" s="200"/>
      <c r="K77" s="200"/>
      <c r="L77" s="165"/>
      <c r="M77" s="165"/>
      <c r="N77" s="165"/>
      <c r="O77" s="200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200"/>
      <c r="AB77" s="200"/>
      <c r="AC77" s="165"/>
      <c r="AD77" s="165"/>
      <c r="AE77" s="165"/>
      <c r="AF77" s="165"/>
      <c r="AG77" s="165"/>
      <c r="AH77" s="165"/>
      <c r="AI77" s="201">
        <f t="shared" ref="AI77:AI103" si="1">SUM(B77:AG77)</f>
        <v>0</v>
      </c>
      <c r="AJ77" s="154"/>
    </row>
    <row r="78" spans="1:36">
      <c r="A78" s="203" t="s">
        <v>34</v>
      </c>
      <c r="B78" s="204"/>
      <c r="C78" s="164"/>
      <c r="D78" s="164"/>
      <c r="E78" s="164"/>
      <c r="F78" s="164"/>
      <c r="G78" s="164"/>
      <c r="H78" s="164">
        <v>446483721</v>
      </c>
      <c r="I78" s="164">
        <v>448935616</v>
      </c>
      <c r="J78" s="164">
        <v>4903555261</v>
      </c>
      <c r="K78" s="164"/>
      <c r="L78" s="164"/>
      <c r="M78" s="164"/>
      <c r="N78" s="164">
        <v>1361354086</v>
      </c>
      <c r="O78" s="208"/>
      <c r="P78" s="164">
        <v>327293276</v>
      </c>
      <c r="Q78" s="164"/>
      <c r="R78" s="164"/>
      <c r="S78" s="164"/>
      <c r="T78" s="164"/>
      <c r="U78" s="306"/>
      <c r="V78" s="164">
        <v>1073388483</v>
      </c>
      <c r="W78" s="190"/>
      <c r="X78" s="164">
        <v>2685325350</v>
      </c>
      <c r="Y78" s="164"/>
      <c r="Z78" s="164"/>
      <c r="AA78" s="164"/>
      <c r="AB78" s="164"/>
      <c r="AC78" s="164">
        <v>3972793561</v>
      </c>
      <c r="AD78" s="164"/>
      <c r="AE78" s="164"/>
      <c r="AF78" s="164"/>
      <c r="AG78" s="164"/>
      <c r="AH78" s="190"/>
      <c r="AI78" s="201">
        <f t="shared" si="1"/>
        <v>15219129354</v>
      </c>
      <c r="AJ78" s="173"/>
    </row>
    <row r="79" spans="1:36">
      <c r="A79" s="203" t="s">
        <v>34</v>
      </c>
      <c r="B79" s="20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208"/>
      <c r="P79" s="164"/>
      <c r="Q79" s="164"/>
      <c r="R79" s="164"/>
      <c r="S79" s="164"/>
      <c r="T79" s="164"/>
      <c r="U79" s="306"/>
      <c r="V79" s="164"/>
      <c r="W79" s="190"/>
      <c r="X79" s="164"/>
      <c r="Y79" s="164"/>
      <c r="Z79" s="164"/>
      <c r="AA79" s="164"/>
      <c r="AB79" s="164"/>
      <c r="AC79" s="164">
        <v>1790500641</v>
      </c>
      <c r="AD79" s="164"/>
      <c r="AE79" s="164"/>
      <c r="AF79" s="164"/>
      <c r="AG79" s="164"/>
      <c r="AH79" s="190"/>
      <c r="AI79" s="201"/>
      <c r="AJ79" s="173"/>
    </row>
    <row r="80" spans="1:36">
      <c r="A80" s="203" t="s">
        <v>198</v>
      </c>
      <c r="B80" s="204"/>
      <c r="C80" s="164"/>
      <c r="D80" s="164"/>
      <c r="E80" s="208"/>
      <c r="F80" s="164"/>
      <c r="G80" s="164"/>
      <c r="H80" s="164">
        <v>2282028</v>
      </c>
      <c r="I80" s="164">
        <v>2194796</v>
      </c>
      <c r="J80" s="164">
        <v>22883258</v>
      </c>
      <c r="K80" s="164"/>
      <c r="L80" s="164"/>
      <c r="M80" s="164"/>
      <c r="N80" s="164"/>
      <c r="O80" s="208"/>
      <c r="P80" s="164">
        <v>1527369</v>
      </c>
      <c r="Q80" s="164"/>
      <c r="R80" s="164"/>
      <c r="S80" s="164"/>
      <c r="T80" s="164"/>
      <c r="U80" s="306"/>
      <c r="V80" s="164">
        <v>5724739</v>
      </c>
      <c r="W80" s="190"/>
      <c r="X80" s="164">
        <v>13128257</v>
      </c>
      <c r="Y80" s="164"/>
      <c r="Z80" s="164"/>
      <c r="AA80" s="164"/>
      <c r="AB80" s="164"/>
      <c r="AC80" s="164">
        <v>17930249</v>
      </c>
      <c r="AD80" s="164"/>
      <c r="AE80" s="190"/>
      <c r="AF80" s="164"/>
      <c r="AG80" s="164"/>
      <c r="AH80" s="190"/>
      <c r="AI80" s="201">
        <f t="shared" si="1"/>
        <v>65670696</v>
      </c>
      <c r="AJ80" s="173"/>
    </row>
    <row r="81" spans="1:38">
      <c r="A81" s="203" t="s">
        <v>227</v>
      </c>
      <c r="B81" s="204"/>
      <c r="C81" s="164">
        <v>31866483263</v>
      </c>
      <c r="D81" s="164"/>
      <c r="E81" s="208"/>
      <c r="F81" s="164"/>
      <c r="G81" s="164"/>
      <c r="H81" s="164">
        <v>2435330897</v>
      </c>
      <c r="I81" s="164">
        <v>663667252</v>
      </c>
      <c r="J81" s="164">
        <v>2867700789</v>
      </c>
      <c r="K81" s="164"/>
      <c r="L81" s="164"/>
      <c r="M81" s="164"/>
      <c r="N81" s="164"/>
      <c r="O81" s="208"/>
      <c r="P81" s="164">
        <v>4243883921</v>
      </c>
      <c r="Q81" s="164"/>
      <c r="R81" s="164"/>
      <c r="S81" s="164"/>
      <c r="T81" s="164"/>
      <c r="U81" s="306"/>
      <c r="V81" s="164">
        <v>3129914315</v>
      </c>
      <c r="W81" s="190"/>
      <c r="X81" s="164">
        <v>1071110123</v>
      </c>
      <c r="Y81" s="190"/>
      <c r="Z81" s="164"/>
      <c r="AA81" s="164">
        <v>1723396642</v>
      </c>
      <c r="AB81" s="164"/>
      <c r="AC81" s="164"/>
      <c r="AD81" s="164"/>
      <c r="AE81" s="306"/>
      <c r="AF81" s="164"/>
      <c r="AG81" s="164"/>
      <c r="AH81" s="190"/>
      <c r="AI81" s="201">
        <f t="shared" si="1"/>
        <v>48001487202</v>
      </c>
      <c r="AJ81" s="173"/>
    </row>
    <row r="82" spans="1:38">
      <c r="A82" s="203" t="s">
        <v>227</v>
      </c>
      <c r="B82" s="204"/>
      <c r="C82" s="190"/>
      <c r="D82" s="164"/>
      <c r="E82" s="208"/>
      <c r="F82" s="164"/>
      <c r="G82" s="164"/>
      <c r="H82" s="164"/>
      <c r="I82" s="164">
        <v>4997682547</v>
      </c>
      <c r="J82" s="164"/>
      <c r="K82" s="164"/>
      <c r="L82" s="164"/>
      <c r="M82" s="164"/>
      <c r="N82" s="164"/>
      <c r="O82" s="208"/>
      <c r="P82" s="164">
        <v>3910892514</v>
      </c>
      <c r="Q82" s="164"/>
      <c r="R82" s="164"/>
      <c r="S82" s="164"/>
      <c r="T82" s="164"/>
      <c r="U82" s="306"/>
      <c r="V82" s="164">
        <v>4335937811</v>
      </c>
      <c r="W82" s="164"/>
      <c r="X82" s="164"/>
      <c r="Y82" s="164"/>
      <c r="Z82" s="164"/>
      <c r="AA82" s="164"/>
      <c r="AB82" s="164"/>
      <c r="AC82" s="164"/>
      <c r="AD82" s="190"/>
      <c r="AE82" s="190"/>
      <c r="AF82" s="164"/>
      <c r="AG82" s="164"/>
      <c r="AH82" s="190"/>
      <c r="AI82" s="201">
        <f t="shared" si="1"/>
        <v>13244512872</v>
      </c>
      <c r="AJ82" s="173"/>
    </row>
    <row r="83" spans="1:38">
      <c r="A83" s="203" t="s">
        <v>227</v>
      </c>
      <c r="B83" s="204"/>
      <c r="C83" s="190"/>
      <c r="D83" s="164"/>
      <c r="E83" s="208"/>
      <c r="F83" s="164"/>
      <c r="G83" s="164"/>
      <c r="H83" s="164"/>
      <c r="I83" s="164"/>
      <c r="J83" s="164"/>
      <c r="K83" s="164"/>
      <c r="L83" s="164"/>
      <c r="M83" s="164"/>
      <c r="N83" s="164"/>
      <c r="O83" s="208"/>
      <c r="P83" s="164"/>
      <c r="Q83" s="164"/>
      <c r="R83" s="164"/>
      <c r="S83" s="164"/>
      <c r="T83" s="164"/>
      <c r="U83" s="306"/>
      <c r="V83" s="190"/>
      <c r="W83" s="164"/>
      <c r="X83" s="164"/>
      <c r="Y83" s="164"/>
      <c r="Z83" s="164"/>
      <c r="AA83" s="164"/>
      <c r="AB83" s="164"/>
      <c r="AC83" s="164"/>
      <c r="AD83" s="190"/>
      <c r="AE83" s="307"/>
      <c r="AF83" s="164"/>
      <c r="AG83" s="164"/>
      <c r="AH83" s="190"/>
      <c r="AI83" s="201">
        <f t="shared" si="1"/>
        <v>0</v>
      </c>
      <c r="AJ83" s="173"/>
    </row>
    <row r="84" spans="1:38">
      <c r="A84" s="203" t="s">
        <v>227</v>
      </c>
      <c r="B84" s="204"/>
      <c r="C84" s="190"/>
      <c r="D84" s="164"/>
      <c r="E84" s="208"/>
      <c r="F84" s="164"/>
      <c r="G84" s="164"/>
      <c r="H84" s="164"/>
      <c r="I84" s="164"/>
      <c r="J84" s="164"/>
      <c r="K84" s="164"/>
      <c r="L84" s="164"/>
      <c r="M84" s="164"/>
      <c r="N84" s="164"/>
      <c r="O84" s="208"/>
      <c r="P84" s="164"/>
      <c r="Q84" s="164"/>
      <c r="R84" s="164"/>
      <c r="S84" s="164"/>
      <c r="T84" s="164"/>
      <c r="U84" s="306"/>
      <c r="V84" s="190"/>
      <c r="W84" s="164"/>
      <c r="X84" s="164"/>
      <c r="Y84" s="164"/>
      <c r="Z84" s="164"/>
      <c r="AA84" s="164"/>
      <c r="AB84" s="164"/>
      <c r="AC84" s="164"/>
      <c r="AD84" s="190"/>
      <c r="AE84" s="307"/>
      <c r="AF84" s="164"/>
      <c r="AG84" s="164"/>
      <c r="AH84" s="190"/>
      <c r="AI84" s="201">
        <f t="shared" si="1"/>
        <v>0</v>
      </c>
      <c r="AJ84" s="173"/>
    </row>
    <row r="85" spans="1:38">
      <c r="A85" s="203" t="s">
        <v>199</v>
      </c>
      <c r="B85" s="204"/>
      <c r="C85" s="172"/>
      <c r="D85" s="164"/>
      <c r="E85" s="208"/>
      <c r="F85" s="164"/>
      <c r="G85" s="164"/>
      <c r="H85" s="164">
        <v>9999614</v>
      </c>
      <c r="I85" s="164">
        <v>28625180</v>
      </c>
      <c r="J85" s="164">
        <v>13711355</v>
      </c>
      <c r="K85" s="164"/>
      <c r="L85" s="164"/>
      <c r="M85" s="164"/>
      <c r="N85" s="164"/>
      <c r="O85" s="208"/>
      <c r="P85" s="164">
        <v>41704570</v>
      </c>
      <c r="Q85" s="171"/>
      <c r="R85" s="164"/>
      <c r="S85" s="164"/>
      <c r="T85" s="208"/>
      <c r="U85" s="306"/>
      <c r="V85" s="164">
        <v>37890795</v>
      </c>
      <c r="W85" s="164"/>
      <c r="X85" s="164">
        <v>5367452</v>
      </c>
      <c r="Y85" s="164"/>
      <c r="Z85" s="164"/>
      <c r="AA85" s="164">
        <v>8279019</v>
      </c>
      <c r="AB85" s="164"/>
      <c r="AC85" s="164"/>
      <c r="AD85" s="172"/>
      <c r="AE85" s="306"/>
      <c r="AF85" s="208"/>
      <c r="AG85" s="164"/>
      <c r="AH85" s="190"/>
      <c r="AI85" s="201">
        <f t="shared" si="1"/>
        <v>145577985</v>
      </c>
      <c r="AJ85" s="173"/>
      <c r="AL85" s="150" t="s">
        <v>253</v>
      </c>
    </row>
    <row r="86" spans="1:38">
      <c r="A86" s="203" t="s">
        <v>199</v>
      </c>
      <c r="B86" s="204"/>
      <c r="C86" s="172"/>
      <c r="D86" s="164"/>
      <c r="E86" s="208"/>
      <c r="F86" s="164"/>
      <c r="G86" s="164"/>
      <c r="H86" s="164"/>
      <c r="I86" s="164"/>
      <c r="J86" s="164">
        <v>2813544</v>
      </c>
      <c r="K86" s="164"/>
      <c r="L86" s="308"/>
      <c r="M86" s="164"/>
      <c r="N86" s="164"/>
      <c r="O86" s="208"/>
      <c r="P86" s="164"/>
      <c r="Q86" s="171"/>
      <c r="R86" s="164"/>
      <c r="S86" s="164"/>
      <c r="T86" s="208"/>
      <c r="U86" s="306"/>
      <c r="V86" s="164"/>
      <c r="W86" s="164"/>
      <c r="X86" s="164"/>
      <c r="Y86" s="164"/>
      <c r="Z86" s="164"/>
      <c r="AA86" s="164"/>
      <c r="AB86" s="164"/>
      <c r="AC86" s="164"/>
      <c r="AD86" s="172"/>
      <c r="AE86" s="306"/>
      <c r="AF86" s="208"/>
      <c r="AG86" s="164"/>
      <c r="AH86" s="190"/>
      <c r="AI86" s="201"/>
      <c r="AJ86" s="173"/>
    </row>
    <row r="87" spans="1:38">
      <c r="A87" s="203" t="s">
        <v>228</v>
      </c>
      <c r="B87" s="204"/>
      <c r="C87" s="190"/>
      <c r="D87" s="208"/>
      <c r="E87" s="208"/>
      <c r="F87" s="164"/>
      <c r="G87" s="164"/>
      <c r="H87" s="164"/>
      <c r="I87" s="164"/>
      <c r="J87" s="164"/>
      <c r="K87" s="164"/>
      <c r="L87" s="308"/>
      <c r="M87" s="164"/>
      <c r="N87" s="164"/>
      <c r="O87" s="208"/>
      <c r="P87" s="208"/>
      <c r="Q87" s="164"/>
      <c r="R87" s="164"/>
      <c r="S87" s="164"/>
      <c r="T87" s="208"/>
      <c r="U87" s="309"/>
      <c r="V87" s="190"/>
      <c r="W87" s="164"/>
      <c r="X87" s="164"/>
      <c r="Y87" s="164"/>
      <c r="Z87" s="164"/>
      <c r="AA87" s="164"/>
      <c r="AB87" s="164"/>
      <c r="AC87" s="164">
        <v>1686754160</v>
      </c>
      <c r="AD87" s="190"/>
      <c r="AE87" s="164"/>
      <c r="AF87" s="208"/>
      <c r="AG87" s="164"/>
      <c r="AH87" s="190"/>
      <c r="AI87" s="201">
        <f t="shared" si="1"/>
        <v>1686754160</v>
      </c>
      <c r="AJ87" s="173"/>
    </row>
    <row r="88" spans="1:38">
      <c r="A88" s="203" t="s">
        <v>200</v>
      </c>
      <c r="B88" s="204"/>
      <c r="C88" s="190"/>
      <c r="D88" s="208"/>
      <c r="E88" s="208"/>
      <c r="F88" s="164"/>
      <c r="G88" s="164"/>
      <c r="H88" s="164"/>
      <c r="I88" s="164"/>
      <c r="J88" s="164"/>
      <c r="K88" s="164"/>
      <c r="L88" s="308"/>
      <c r="M88" s="164"/>
      <c r="N88" s="164"/>
      <c r="O88" s="208"/>
      <c r="P88" s="208"/>
      <c r="Q88" s="164"/>
      <c r="R88" s="164"/>
      <c r="S88" s="164"/>
      <c r="T88" s="208"/>
      <c r="U88" s="208"/>
      <c r="V88" s="190"/>
      <c r="W88" s="164"/>
      <c r="X88" s="164"/>
      <c r="Y88" s="164"/>
      <c r="Z88" s="164"/>
      <c r="AA88" s="164"/>
      <c r="AB88" s="164"/>
      <c r="AC88" s="164">
        <v>6770444</v>
      </c>
      <c r="AD88" s="190"/>
      <c r="AE88" s="164"/>
      <c r="AF88" s="208"/>
      <c r="AG88" s="164"/>
      <c r="AH88" s="190"/>
      <c r="AI88" s="201">
        <f t="shared" si="1"/>
        <v>6770444</v>
      </c>
      <c r="AJ88" s="173"/>
    </row>
    <row r="89" spans="1:38">
      <c r="A89" s="203" t="s">
        <v>36</v>
      </c>
      <c r="B89" s="204"/>
      <c r="C89" s="190"/>
      <c r="D89" s="208"/>
      <c r="E89" s="208"/>
      <c r="F89" s="164"/>
      <c r="G89" s="164"/>
      <c r="H89" s="164"/>
      <c r="I89" s="164"/>
      <c r="J89" s="164"/>
      <c r="K89" s="164"/>
      <c r="L89" s="308"/>
      <c r="M89" s="164"/>
      <c r="N89" s="164"/>
      <c r="O89" s="208"/>
      <c r="P89" s="208"/>
      <c r="Q89" s="164"/>
      <c r="R89" s="164"/>
      <c r="S89" s="164"/>
      <c r="T89" s="208"/>
      <c r="U89" s="208"/>
      <c r="V89" s="190"/>
      <c r="W89" s="190"/>
      <c r="X89" s="164">
        <v>3439013742</v>
      </c>
      <c r="Y89" s="164"/>
      <c r="Z89" s="164"/>
      <c r="AA89" s="164">
        <v>1968385823</v>
      </c>
      <c r="AB89" s="164"/>
      <c r="AC89" s="164">
        <v>4458949730</v>
      </c>
      <c r="AD89" s="190"/>
      <c r="AE89" s="164"/>
      <c r="AF89" s="208"/>
      <c r="AG89" s="164"/>
      <c r="AH89" s="190"/>
      <c r="AI89" s="201">
        <f t="shared" si="1"/>
        <v>9866349295</v>
      </c>
      <c r="AJ89" s="173"/>
    </row>
    <row r="90" spans="1:38">
      <c r="A90" s="203" t="s">
        <v>36</v>
      </c>
      <c r="B90" s="204"/>
      <c r="C90" s="190"/>
      <c r="D90" s="208"/>
      <c r="E90" s="208"/>
      <c r="F90" s="164"/>
      <c r="G90" s="164"/>
      <c r="H90" s="164"/>
      <c r="I90" s="164"/>
      <c r="J90" s="164"/>
      <c r="K90" s="164"/>
      <c r="L90" s="308"/>
      <c r="M90" s="164"/>
      <c r="N90" s="164"/>
      <c r="O90" s="208"/>
      <c r="P90" s="208"/>
      <c r="Q90" s="164"/>
      <c r="R90" s="164"/>
      <c r="S90" s="164"/>
      <c r="T90" s="208"/>
      <c r="U90" s="208"/>
      <c r="V90" s="190"/>
      <c r="W90" s="164"/>
      <c r="X90" s="164">
        <v>3391963166</v>
      </c>
      <c r="Y90" s="164"/>
      <c r="Z90" s="164"/>
      <c r="AA90" s="164"/>
      <c r="AB90" s="164"/>
      <c r="AC90" s="164">
        <v>2390573149</v>
      </c>
      <c r="AD90" s="190"/>
      <c r="AE90" s="164"/>
      <c r="AF90" s="208"/>
      <c r="AG90" s="164"/>
      <c r="AH90" s="190"/>
      <c r="AI90" s="201"/>
      <c r="AJ90" s="173"/>
    </row>
    <row r="91" spans="1:38">
      <c r="A91" s="203" t="s">
        <v>36</v>
      </c>
      <c r="B91" s="204"/>
      <c r="C91" s="190"/>
      <c r="D91" s="208"/>
      <c r="E91" s="208"/>
      <c r="F91" s="164"/>
      <c r="G91" s="164"/>
      <c r="H91" s="164"/>
      <c r="I91" s="164"/>
      <c r="J91" s="164"/>
      <c r="K91" s="164"/>
      <c r="L91" s="308"/>
      <c r="M91" s="164"/>
      <c r="N91" s="164"/>
      <c r="O91" s="208"/>
      <c r="P91" s="208"/>
      <c r="Q91" s="164"/>
      <c r="R91" s="164"/>
      <c r="S91" s="164"/>
      <c r="T91" s="208"/>
      <c r="U91" s="208"/>
      <c r="V91" s="190"/>
      <c r="W91" s="164"/>
      <c r="X91" s="164"/>
      <c r="Y91" s="164"/>
      <c r="Z91" s="164"/>
      <c r="AA91" s="164"/>
      <c r="AB91" s="164"/>
      <c r="AC91" s="164"/>
      <c r="AD91" s="190"/>
      <c r="AE91" s="164"/>
      <c r="AF91" s="208"/>
      <c r="AG91" s="164"/>
      <c r="AH91" s="190"/>
      <c r="AI91" s="201"/>
      <c r="AJ91" s="173"/>
    </row>
    <row r="92" spans="1:38">
      <c r="A92" s="203" t="s">
        <v>242</v>
      </c>
      <c r="B92" s="204"/>
      <c r="C92" s="190"/>
      <c r="D92" s="208"/>
      <c r="E92" s="208"/>
      <c r="F92" s="164"/>
      <c r="G92" s="164"/>
      <c r="H92" s="164"/>
      <c r="I92" s="164"/>
      <c r="J92" s="164"/>
      <c r="K92" s="164"/>
      <c r="L92" s="308"/>
      <c r="M92" s="164"/>
      <c r="N92" s="164"/>
      <c r="O92" s="208"/>
      <c r="P92" s="208"/>
      <c r="Q92" s="164"/>
      <c r="R92" s="164"/>
      <c r="S92" s="164"/>
      <c r="T92" s="208"/>
      <c r="U92" s="208"/>
      <c r="V92" s="190"/>
      <c r="W92" s="164"/>
      <c r="X92" s="164">
        <v>37096000</v>
      </c>
      <c r="Y92" s="164"/>
      <c r="Z92" s="164"/>
      <c r="AA92" s="164">
        <v>9295155</v>
      </c>
      <c r="AB92" s="164"/>
      <c r="AC92" s="164">
        <v>29844994</v>
      </c>
      <c r="AD92" s="190"/>
      <c r="AE92" s="164"/>
      <c r="AF92" s="208"/>
      <c r="AG92" s="164"/>
      <c r="AH92" s="190"/>
      <c r="AI92" s="201">
        <f t="shared" si="1"/>
        <v>76236149</v>
      </c>
      <c r="AJ92" s="173"/>
    </row>
    <row r="93" spans="1:38">
      <c r="A93" s="162" t="s">
        <v>53</v>
      </c>
      <c r="B93" s="204"/>
      <c r="C93" s="164"/>
      <c r="D93" s="172"/>
      <c r="E93" s="208"/>
      <c r="F93" s="164"/>
      <c r="G93" s="164"/>
      <c r="H93" s="164"/>
      <c r="I93" s="164"/>
      <c r="J93" s="164"/>
      <c r="K93" s="164"/>
      <c r="L93" s="308"/>
      <c r="M93" s="164"/>
      <c r="N93" s="172"/>
      <c r="O93" s="172"/>
      <c r="P93" s="172"/>
      <c r="Q93" s="164"/>
      <c r="R93" s="164"/>
      <c r="S93" s="243"/>
      <c r="T93" s="208"/>
      <c r="U93" s="171"/>
      <c r="V93" s="170"/>
      <c r="W93" s="164"/>
      <c r="X93" s="171"/>
      <c r="Y93" s="171"/>
      <c r="Z93" s="164"/>
      <c r="AA93" s="164"/>
      <c r="AB93" s="164"/>
      <c r="AC93" s="164"/>
      <c r="AD93" s="164"/>
      <c r="AE93" s="164"/>
      <c r="AF93" s="208"/>
      <c r="AG93" s="164"/>
      <c r="AH93" s="164"/>
      <c r="AI93" s="201">
        <f t="shared" si="1"/>
        <v>0</v>
      </c>
      <c r="AJ93" s="173"/>
    </row>
    <row r="94" spans="1:38">
      <c r="A94" s="162" t="s">
        <v>54</v>
      </c>
      <c r="B94" s="204"/>
      <c r="C94" s="164"/>
      <c r="D94" s="208"/>
      <c r="E94" s="172"/>
      <c r="F94" s="164"/>
      <c r="G94" s="164"/>
      <c r="H94" s="164"/>
      <c r="I94" s="164"/>
      <c r="J94" s="164"/>
      <c r="K94" s="164"/>
      <c r="L94" s="310"/>
      <c r="M94" s="164"/>
      <c r="N94" s="164"/>
      <c r="O94" s="208"/>
      <c r="P94" s="172"/>
      <c r="Q94" s="164"/>
      <c r="R94" s="164"/>
      <c r="S94" s="164"/>
      <c r="T94" s="208"/>
      <c r="U94" s="208"/>
      <c r="V94" s="170"/>
      <c r="W94" s="172"/>
      <c r="X94" s="170"/>
      <c r="Y94" s="170"/>
      <c r="Z94" s="172"/>
      <c r="AA94" s="164"/>
      <c r="AB94" s="164"/>
      <c r="AC94" s="164"/>
      <c r="AD94" s="164"/>
      <c r="AE94" s="164"/>
      <c r="AF94" s="208"/>
      <c r="AG94" s="164"/>
      <c r="AH94" s="190"/>
      <c r="AI94" s="201">
        <f t="shared" si="1"/>
        <v>0</v>
      </c>
      <c r="AJ94" s="173">
        <v>1</v>
      </c>
    </row>
    <row r="95" spans="1:38">
      <c r="A95" s="162" t="s">
        <v>203</v>
      </c>
      <c r="B95" s="204"/>
      <c r="C95" s="164"/>
      <c r="D95" s="208"/>
      <c r="E95" s="172"/>
      <c r="F95" s="164"/>
      <c r="G95" s="164"/>
      <c r="H95" s="164"/>
      <c r="I95" s="208"/>
      <c r="J95" s="164"/>
      <c r="K95" s="164"/>
      <c r="L95" s="310"/>
      <c r="M95" s="164"/>
      <c r="N95" s="164"/>
      <c r="O95" s="208"/>
      <c r="P95" s="172"/>
      <c r="Q95" s="164"/>
      <c r="R95" s="164"/>
      <c r="S95" s="164"/>
      <c r="T95" s="208"/>
      <c r="U95" s="208"/>
      <c r="V95" s="171"/>
      <c r="W95" s="172"/>
      <c r="X95" s="170"/>
      <c r="Y95" s="170"/>
      <c r="Z95" s="172"/>
      <c r="AA95" s="164"/>
      <c r="AB95" s="164"/>
      <c r="AC95" s="164"/>
      <c r="AD95" s="164"/>
      <c r="AE95" s="208"/>
      <c r="AF95" s="208"/>
      <c r="AG95" s="164"/>
      <c r="AH95" s="190"/>
      <c r="AI95" s="201">
        <f t="shared" si="1"/>
        <v>0</v>
      </c>
      <c r="AJ95" s="173"/>
    </row>
    <row r="96" spans="1:38">
      <c r="A96" s="162" t="s">
        <v>37</v>
      </c>
      <c r="B96" s="204"/>
      <c r="C96" s="164">
        <v>1141305659</v>
      </c>
      <c r="D96" s="164"/>
      <c r="E96" s="172"/>
      <c r="F96" s="164"/>
      <c r="G96" s="172">
        <v>1706747704</v>
      </c>
      <c r="H96" s="164">
        <v>775464761</v>
      </c>
      <c r="I96" s="172">
        <v>2050775438</v>
      </c>
      <c r="J96" s="164">
        <v>1144573898</v>
      </c>
      <c r="K96" s="164"/>
      <c r="L96" s="310"/>
      <c r="M96" s="164">
        <v>1803265856</v>
      </c>
      <c r="N96" s="164"/>
      <c r="O96" s="208"/>
      <c r="P96" s="171">
        <v>1354234144</v>
      </c>
      <c r="Q96" s="164"/>
      <c r="R96" s="164"/>
      <c r="S96" s="164"/>
      <c r="T96" s="208"/>
      <c r="U96" s="171">
        <v>248144447</v>
      </c>
      <c r="V96" s="171">
        <v>284461956</v>
      </c>
      <c r="W96" s="164"/>
      <c r="X96" s="171">
        <v>1157498601</v>
      </c>
      <c r="Y96" s="171"/>
      <c r="Z96" s="164"/>
      <c r="AA96" s="171">
        <v>127272878</v>
      </c>
      <c r="AB96" s="175"/>
      <c r="AC96" s="172"/>
      <c r="AD96" s="164"/>
      <c r="AE96" s="172"/>
      <c r="AF96" s="175"/>
      <c r="AG96" s="164"/>
      <c r="AH96" s="164"/>
      <c r="AI96" s="201">
        <f t="shared" si="1"/>
        <v>11793745342</v>
      </c>
      <c r="AJ96" s="173"/>
    </row>
    <row r="97" spans="1:36">
      <c r="A97" s="162" t="s">
        <v>38</v>
      </c>
      <c r="B97" s="204"/>
      <c r="C97" s="164"/>
      <c r="D97" s="171"/>
      <c r="E97" s="172"/>
      <c r="F97" s="164"/>
      <c r="G97" s="164"/>
      <c r="H97" s="164"/>
      <c r="I97" s="208"/>
      <c r="J97" s="164"/>
      <c r="K97" s="172"/>
      <c r="L97" s="310"/>
      <c r="M97" s="164"/>
      <c r="N97" s="172"/>
      <c r="O97" s="172"/>
      <c r="P97" s="208"/>
      <c r="Q97" s="177"/>
      <c r="R97" s="171"/>
      <c r="S97" s="164"/>
      <c r="T97" s="171"/>
      <c r="U97" s="208"/>
      <c r="V97" s="208"/>
      <c r="W97" s="172"/>
      <c r="X97" s="171"/>
      <c r="Y97" s="171"/>
      <c r="Z97" s="172"/>
      <c r="AA97" s="171"/>
      <c r="AB97" s="172"/>
      <c r="AC97" s="164"/>
      <c r="AD97" s="164"/>
      <c r="AE97" s="208"/>
      <c r="AF97" s="171"/>
      <c r="AG97" s="170"/>
      <c r="AH97" s="170"/>
      <c r="AI97" s="201">
        <f t="shared" si="1"/>
        <v>0</v>
      </c>
      <c r="AJ97" s="173"/>
    </row>
    <row r="98" spans="1:36">
      <c r="A98" s="162" t="s">
        <v>414</v>
      </c>
      <c r="B98" s="204"/>
      <c r="C98" s="164"/>
      <c r="D98" s="171"/>
      <c r="E98" s="172"/>
      <c r="F98" s="164"/>
      <c r="G98" s="164"/>
      <c r="H98" s="164"/>
      <c r="I98" s="208"/>
      <c r="J98" s="164"/>
      <c r="K98" s="172"/>
      <c r="L98" s="310"/>
      <c r="M98" s="164"/>
      <c r="N98" s="172"/>
      <c r="O98" s="172"/>
      <c r="P98" s="208"/>
      <c r="Q98" s="177"/>
      <c r="R98" s="171"/>
      <c r="S98" s="164"/>
      <c r="T98" s="171"/>
      <c r="U98" s="208"/>
      <c r="V98" s="208"/>
      <c r="W98" s="172"/>
      <c r="X98" s="171"/>
      <c r="Y98" s="171"/>
      <c r="Z98" s="172"/>
      <c r="AA98" s="171"/>
      <c r="AB98" s="172"/>
      <c r="AC98" s="164"/>
      <c r="AD98" s="164"/>
      <c r="AE98" s="208"/>
      <c r="AF98" s="171"/>
      <c r="AG98" s="170"/>
      <c r="AH98" s="170"/>
      <c r="AI98" s="201"/>
      <c r="AJ98" s="173"/>
    </row>
    <row r="99" spans="1:36">
      <c r="A99" s="162" t="s">
        <v>540</v>
      </c>
      <c r="B99" s="204"/>
      <c r="C99" s="164"/>
      <c r="D99" s="171"/>
      <c r="E99" s="172"/>
      <c r="F99" s="164">
        <v>52801053</v>
      </c>
      <c r="G99" s="164"/>
      <c r="H99" s="164"/>
      <c r="I99" s="208"/>
      <c r="J99" s="164"/>
      <c r="K99" s="172"/>
      <c r="L99" s="208"/>
      <c r="M99" s="164"/>
      <c r="N99" s="177"/>
      <c r="O99" s="172"/>
      <c r="P99" s="208"/>
      <c r="Q99" s="177"/>
      <c r="R99" s="171"/>
      <c r="S99" s="164"/>
      <c r="T99" s="171"/>
      <c r="U99" s="208"/>
      <c r="V99" s="208"/>
      <c r="W99" s="172"/>
      <c r="X99" s="171"/>
      <c r="Y99" s="171"/>
      <c r="Z99" s="172"/>
      <c r="AA99" s="171"/>
      <c r="AB99" s="172"/>
      <c r="AC99" s="164"/>
      <c r="AD99" s="164"/>
      <c r="AE99" s="208"/>
      <c r="AF99" s="171"/>
      <c r="AG99" s="170"/>
      <c r="AH99" s="170"/>
      <c r="AI99" s="201">
        <f t="shared" si="1"/>
        <v>52801053</v>
      </c>
      <c r="AJ99" s="173"/>
    </row>
    <row r="100" spans="1:36">
      <c r="A100" s="162" t="s">
        <v>175</v>
      </c>
      <c r="B100" s="204"/>
      <c r="C100" s="172">
        <v>2422364483</v>
      </c>
      <c r="D100" s="172"/>
      <c r="E100" s="172"/>
      <c r="F100" s="164"/>
      <c r="G100" s="164">
        <v>2564297026</v>
      </c>
      <c r="H100" s="164">
        <v>1415588980</v>
      </c>
      <c r="I100" s="208">
        <v>2224078646</v>
      </c>
      <c r="J100" s="172">
        <v>1074619898</v>
      </c>
      <c r="K100" s="164"/>
      <c r="L100" s="171"/>
      <c r="M100" s="164">
        <v>1684952150</v>
      </c>
      <c r="N100" s="172"/>
      <c r="O100" s="172"/>
      <c r="P100" s="173">
        <v>3689932926</v>
      </c>
      <c r="Q100" s="208"/>
      <c r="R100" s="171"/>
      <c r="S100" s="164"/>
      <c r="T100" s="164"/>
      <c r="U100" s="164">
        <v>3793227829</v>
      </c>
      <c r="V100" s="164"/>
      <c r="W100" s="175"/>
      <c r="X100" s="175"/>
      <c r="Y100" s="175"/>
      <c r="Z100" s="172"/>
      <c r="AA100" s="172">
        <v>182273730</v>
      </c>
      <c r="AB100" s="172"/>
      <c r="AC100" s="164"/>
      <c r="AD100" s="172"/>
      <c r="AE100" s="171"/>
      <c r="AF100" s="171"/>
      <c r="AG100" s="171"/>
      <c r="AH100" s="170"/>
      <c r="AI100" s="201">
        <f t="shared" si="1"/>
        <v>19051335668</v>
      </c>
      <c r="AJ100" s="173"/>
    </row>
    <row r="101" spans="1:36">
      <c r="A101" s="162" t="s">
        <v>176</v>
      </c>
      <c r="B101" s="204"/>
      <c r="C101" s="164"/>
      <c r="D101" s="164"/>
      <c r="E101" s="172"/>
      <c r="F101" s="164"/>
      <c r="G101" s="164">
        <v>1805186211</v>
      </c>
      <c r="H101" s="164"/>
      <c r="I101" s="208"/>
      <c r="J101" s="172"/>
      <c r="K101" s="172"/>
      <c r="L101" s="208"/>
      <c r="M101" s="164"/>
      <c r="N101" s="164"/>
      <c r="O101" s="172"/>
      <c r="P101" s="208"/>
      <c r="Q101" s="164"/>
      <c r="R101" s="306"/>
      <c r="S101" s="164"/>
      <c r="T101" s="172"/>
      <c r="U101" s="171"/>
      <c r="V101" s="171"/>
      <c r="W101" s="164"/>
      <c r="X101" s="171"/>
      <c r="Y101" s="172"/>
      <c r="Z101" s="208"/>
      <c r="AA101" s="164"/>
      <c r="AB101" s="172"/>
      <c r="AC101" s="164"/>
      <c r="AD101" s="164"/>
      <c r="AE101" s="208"/>
      <c r="AF101" s="171"/>
      <c r="AG101" s="164"/>
      <c r="AH101" s="164"/>
      <c r="AI101" s="201">
        <f t="shared" si="1"/>
        <v>1805186211</v>
      </c>
      <c r="AJ101" s="173"/>
    </row>
    <row r="102" spans="1:36">
      <c r="A102" s="162" t="s">
        <v>409</v>
      </c>
      <c r="B102" s="204"/>
      <c r="C102" s="164"/>
      <c r="D102" s="164"/>
      <c r="E102" s="172"/>
      <c r="F102" s="164"/>
      <c r="G102" s="164"/>
      <c r="H102" s="164"/>
      <c r="I102" s="208"/>
      <c r="J102" s="172"/>
      <c r="K102" s="172"/>
      <c r="L102" s="208"/>
      <c r="M102" s="164"/>
      <c r="N102" s="164"/>
      <c r="O102" s="172"/>
      <c r="P102" s="208"/>
      <c r="Q102" s="164"/>
      <c r="R102" s="306"/>
      <c r="S102" s="164"/>
      <c r="T102" s="172"/>
      <c r="U102" s="171"/>
      <c r="V102" s="171"/>
      <c r="W102" s="164"/>
      <c r="X102" s="171"/>
      <c r="Y102" s="171"/>
      <c r="Z102" s="171"/>
      <c r="AA102" s="171"/>
      <c r="AB102" s="172"/>
      <c r="AC102" s="164"/>
      <c r="AD102" s="164"/>
      <c r="AE102" s="309"/>
      <c r="AF102" s="171"/>
      <c r="AG102" s="164"/>
      <c r="AH102" s="164"/>
      <c r="AI102" s="201"/>
      <c r="AJ102" s="173"/>
    </row>
    <row r="103" spans="1:36">
      <c r="A103" s="162" t="s">
        <v>202</v>
      </c>
      <c r="B103" s="204"/>
      <c r="C103" s="164"/>
      <c r="D103" s="164"/>
      <c r="E103" s="172"/>
      <c r="F103" s="164">
        <v>73029698</v>
      </c>
      <c r="G103" s="164"/>
      <c r="H103" s="164"/>
      <c r="I103" s="208"/>
      <c r="J103" s="172"/>
      <c r="K103" s="172"/>
      <c r="L103" s="208"/>
      <c r="M103" s="164"/>
      <c r="N103" s="164"/>
      <c r="O103" s="172"/>
      <c r="P103" s="208"/>
      <c r="Q103" s="164"/>
      <c r="R103" s="306"/>
      <c r="S103" s="164"/>
      <c r="T103" s="172"/>
      <c r="U103" s="171"/>
      <c r="V103" s="164"/>
      <c r="W103" s="164"/>
      <c r="X103" s="171"/>
      <c r="Y103" s="172"/>
      <c r="Z103" s="164"/>
      <c r="AA103" s="164"/>
      <c r="AB103" s="172"/>
      <c r="AC103" s="164"/>
      <c r="AD103" s="164"/>
      <c r="AE103" s="306"/>
      <c r="AF103" s="171"/>
      <c r="AG103" s="164"/>
      <c r="AH103" s="164"/>
      <c r="AI103" s="201">
        <f t="shared" si="1"/>
        <v>73029698</v>
      </c>
      <c r="AJ103" s="173"/>
    </row>
    <row r="104" spans="1:36">
      <c r="A104" s="211" t="s">
        <v>41</v>
      </c>
      <c r="B104" s="212"/>
      <c r="C104" s="213">
        <f>SUM(C78:C103)</f>
        <v>35430153405</v>
      </c>
      <c r="D104" s="213">
        <f t="shared" ref="D104:AI104" si="2">SUM(D78:D103)</f>
        <v>0</v>
      </c>
      <c r="E104" s="213">
        <f t="shared" si="2"/>
        <v>0</v>
      </c>
      <c r="F104" s="213">
        <f t="shared" si="2"/>
        <v>125830751</v>
      </c>
      <c r="G104" s="213">
        <f t="shared" si="2"/>
        <v>6076230941</v>
      </c>
      <c r="H104" s="213">
        <f t="shared" si="2"/>
        <v>5085150001</v>
      </c>
      <c r="I104" s="213">
        <f t="shared" si="2"/>
        <v>10415959475</v>
      </c>
      <c r="J104" s="213">
        <f t="shared" si="2"/>
        <v>10029858003</v>
      </c>
      <c r="K104" s="213">
        <f t="shared" si="2"/>
        <v>0</v>
      </c>
      <c r="L104" s="213">
        <f t="shared" si="2"/>
        <v>0</v>
      </c>
      <c r="M104" s="213">
        <f t="shared" si="2"/>
        <v>3488218006</v>
      </c>
      <c r="N104" s="213">
        <f>SUM(N78:N103)</f>
        <v>1361354086</v>
      </c>
      <c r="O104" s="213">
        <f t="shared" si="2"/>
        <v>0</v>
      </c>
      <c r="P104" s="213">
        <f>SUM(P78:P103)</f>
        <v>13569468720</v>
      </c>
      <c r="Q104" s="213">
        <f t="shared" si="2"/>
        <v>0</v>
      </c>
      <c r="R104" s="213">
        <f t="shared" si="2"/>
        <v>0</v>
      </c>
      <c r="S104" s="213">
        <f t="shared" si="2"/>
        <v>0</v>
      </c>
      <c r="T104" s="213">
        <f t="shared" si="2"/>
        <v>0</v>
      </c>
      <c r="U104" s="213">
        <f t="shared" si="2"/>
        <v>4041372276</v>
      </c>
      <c r="V104" s="213">
        <f t="shared" si="2"/>
        <v>8867318099</v>
      </c>
      <c r="W104" s="213">
        <f>SUM(W78:W103)</f>
        <v>0</v>
      </c>
      <c r="X104" s="213">
        <f>SUM(X78:X103)</f>
        <v>11800502691</v>
      </c>
      <c r="Y104" s="213">
        <f t="shared" si="2"/>
        <v>0</v>
      </c>
      <c r="Z104" s="213">
        <f t="shared" si="2"/>
        <v>0</v>
      </c>
      <c r="AA104" s="213">
        <f t="shared" si="2"/>
        <v>4018903247</v>
      </c>
      <c r="AB104" s="213">
        <f t="shared" si="2"/>
        <v>0</v>
      </c>
      <c r="AC104" s="213">
        <f t="shared" si="2"/>
        <v>14354116928</v>
      </c>
      <c r="AD104" s="213">
        <f t="shared" si="2"/>
        <v>0</v>
      </c>
      <c r="AE104" s="213">
        <f t="shared" si="2"/>
        <v>0</v>
      </c>
      <c r="AF104" s="213">
        <f t="shared" si="2"/>
        <v>0</v>
      </c>
      <c r="AG104" s="213">
        <f t="shared" si="2"/>
        <v>0</v>
      </c>
      <c r="AH104" s="213">
        <f t="shared" si="2"/>
        <v>0</v>
      </c>
      <c r="AI104" s="213">
        <f t="shared" si="2"/>
        <v>121088586129</v>
      </c>
      <c r="AJ104" s="154"/>
    </row>
    <row r="105" spans="1:36">
      <c r="A105" s="393" t="s">
        <v>42</v>
      </c>
      <c r="B105" s="394"/>
      <c r="C105" s="215">
        <f t="shared" ref="C105:AG105" si="3">C75+C104</f>
        <v>35567651607</v>
      </c>
      <c r="D105" s="215">
        <f>D75+D104</f>
        <v>0</v>
      </c>
      <c r="E105" s="216">
        <f t="shared" si="3"/>
        <v>0</v>
      </c>
      <c r="F105" s="216">
        <f t="shared" si="3"/>
        <v>1063307457</v>
      </c>
      <c r="G105" s="216">
        <f t="shared" si="3"/>
        <v>6221619504</v>
      </c>
      <c r="H105" s="216">
        <f t="shared" si="3"/>
        <v>5362756792</v>
      </c>
      <c r="I105" s="216">
        <f t="shared" si="3"/>
        <v>11102994673</v>
      </c>
      <c r="J105" s="215">
        <f t="shared" si="3"/>
        <v>10316767932</v>
      </c>
      <c r="K105" s="215">
        <f t="shared" si="3"/>
        <v>0</v>
      </c>
      <c r="L105" s="216">
        <f t="shared" si="3"/>
        <v>0</v>
      </c>
      <c r="M105" s="216">
        <f>M75+M104</f>
        <v>3625006217</v>
      </c>
      <c r="N105" s="216">
        <f t="shared" si="3"/>
        <v>1688730793</v>
      </c>
      <c r="O105" s="216">
        <f t="shared" si="3"/>
        <v>58905192</v>
      </c>
      <c r="P105" s="216">
        <f t="shared" si="3"/>
        <v>16010465950</v>
      </c>
      <c r="Q105" s="216">
        <f t="shared" si="3"/>
        <v>0</v>
      </c>
      <c r="R105" s="216">
        <f t="shared" si="3"/>
        <v>0</v>
      </c>
      <c r="S105" s="216">
        <f t="shared" si="3"/>
        <v>0</v>
      </c>
      <c r="T105" s="216">
        <f t="shared" si="3"/>
        <v>2158946185</v>
      </c>
      <c r="U105" s="216">
        <f t="shared" si="3"/>
        <v>5887386237</v>
      </c>
      <c r="V105" s="216">
        <f t="shared" si="3"/>
        <v>8938850141</v>
      </c>
      <c r="W105" s="216">
        <f t="shared" si="3"/>
        <v>437711165</v>
      </c>
      <c r="X105" s="216">
        <f t="shared" si="3"/>
        <v>11903359020</v>
      </c>
      <c r="Y105" s="216">
        <f t="shared" si="3"/>
        <v>0</v>
      </c>
      <c r="Z105" s="216">
        <f t="shared" si="3"/>
        <v>0</v>
      </c>
      <c r="AA105" s="216">
        <f t="shared" si="3"/>
        <v>8332245780</v>
      </c>
      <c r="AB105" s="216">
        <f t="shared" si="3"/>
        <v>0</v>
      </c>
      <c r="AC105" s="216">
        <f t="shared" si="3"/>
        <v>15120947448</v>
      </c>
      <c r="AD105" s="216">
        <f t="shared" si="3"/>
        <v>121153046</v>
      </c>
      <c r="AE105" s="216">
        <f t="shared" si="3"/>
        <v>11936793382</v>
      </c>
      <c r="AF105" s="216">
        <f t="shared" si="3"/>
        <v>0</v>
      </c>
      <c r="AG105" s="216">
        <f t="shared" si="3"/>
        <v>0</v>
      </c>
      <c r="AH105" s="216"/>
      <c r="AI105" s="216">
        <f>SUM(C105:AG105)</f>
        <v>155855598521</v>
      </c>
    </row>
    <row r="107" spans="1:36">
      <c r="A107" s="150" t="s">
        <v>50</v>
      </c>
      <c r="C107" s="248"/>
      <c r="D107" s="292"/>
      <c r="E107" s="248"/>
      <c r="F107" s="248">
        <v>29974970107</v>
      </c>
      <c r="G107" s="248">
        <v>31409749892</v>
      </c>
      <c r="H107" s="248">
        <v>30403090817</v>
      </c>
      <c r="I107" s="248">
        <v>32544010415</v>
      </c>
      <c r="J107" s="248">
        <v>24777668605</v>
      </c>
      <c r="K107" s="292"/>
      <c r="L107" s="248"/>
      <c r="M107" s="248">
        <v>22920991166</v>
      </c>
      <c r="N107" s="248"/>
      <c r="O107" s="248">
        <v>18843075918</v>
      </c>
      <c r="P107" s="248">
        <v>22694596792</v>
      </c>
      <c r="Q107" s="248"/>
      <c r="R107" s="248"/>
      <c r="S107" s="248"/>
      <c r="T107" s="248">
        <v>18071893118</v>
      </c>
      <c r="U107" s="248">
        <v>18706608489</v>
      </c>
      <c r="V107" s="248">
        <v>19285138946</v>
      </c>
      <c r="W107" s="248">
        <f>V107+V109-V111</f>
        <v>12984869684</v>
      </c>
      <c r="X107" s="248">
        <v>23453705204</v>
      </c>
      <c r="Y107" s="248"/>
      <c r="Z107" s="248"/>
      <c r="AA107" s="248"/>
      <c r="AB107" s="293"/>
      <c r="AC107" s="248">
        <v>17444293799</v>
      </c>
      <c r="AD107" s="248"/>
      <c r="AE107" s="248"/>
      <c r="AF107" s="248"/>
      <c r="AG107" s="248"/>
      <c r="AH107" s="248"/>
      <c r="AI107" s="228"/>
      <c r="AJ107" s="228"/>
    </row>
    <row r="108" spans="1:36">
      <c r="A108" s="150" t="s">
        <v>139</v>
      </c>
      <c r="C108" s="294"/>
      <c r="D108" s="295"/>
      <c r="E108" s="296"/>
      <c r="F108" s="248">
        <f>F107-F105</f>
        <v>28911662650</v>
      </c>
      <c r="G108" s="296">
        <f>G107-G105</f>
        <v>25188130388</v>
      </c>
      <c r="H108" s="248">
        <f>H107-H105</f>
        <v>25040334025</v>
      </c>
      <c r="I108" s="296">
        <f>I107-I105</f>
        <v>21441015742</v>
      </c>
      <c r="J108" s="248"/>
      <c r="K108" s="297"/>
      <c r="L108" s="296"/>
      <c r="M108" s="293"/>
      <c r="N108" s="293"/>
      <c r="O108" s="293">
        <f>O107-O105</f>
        <v>18784170726</v>
      </c>
      <c r="P108" s="293">
        <f>P107-P105</f>
        <v>6684130842</v>
      </c>
      <c r="Q108" s="293"/>
      <c r="R108" s="293"/>
      <c r="S108" s="293"/>
      <c r="T108" s="293"/>
      <c r="U108" s="293">
        <f>U107-U105</f>
        <v>12819222252</v>
      </c>
      <c r="V108" s="293">
        <f>V107-V105</f>
        <v>10346288805</v>
      </c>
      <c r="W108" s="296">
        <f>W107-W105</f>
        <v>12547158519</v>
      </c>
      <c r="X108" s="248">
        <f>X107-X105</f>
        <v>11550346184</v>
      </c>
      <c r="Y108" s="296"/>
      <c r="Z108" s="248"/>
      <c r="AA108" s="248"/>
      <c r="AB108" s="293"/>
      <c r="AC108" s="296">
        <f>AC107-AC105</f>
        <v>2323346351</v>
      </c>
      <c r="AD108" s="296"/>
      <c r="AE108" s="296"/>
      <c r="AF108" s="296"/>
      <c r="AG108" s="296"/>
      <c r="AH108" s="296"/>
      <c r="AI108" s="296"/>
      <c r="AJ108" s="228"/>
    </row>
    <row r="109" spans="1:36">
      <c r="A109" s="150" t="s">
        <v>181</v>
      </c>
      <c r="C109" s="248"/>
      <c r="D109" s="295"/>
      <c r="E109" s="248"/>
      <c r="F109" s="248">
        <v>2239343822</v>
      </c>
      <c r="G109" s="248">
        <v>2285052200</v>
      </c>
      <c r="H109" s="248">
        <v>2974029000</v>
      </c>
      <c r="I109" s="248">
        <v>2549440658</v>
      </c>
      <c r="J109" s="248"/>
      <c r="K109" s="297"/>
      <c r="L109" s="248"/>
      <c r="M109" s="248"/>
      <c r="N109" s="248"/>
      <c r="O109" s="293">
        <v>2877429548</v>
      </c>
      <c r="P109" s="248">
        <v>2947058175</v>
      </c>
      <c r="Q109" s="248"/>
      <c r="R109" s="296"/>
      <c r="S109" s="248"/>
      <c r="T109" s="248"/>
      <c r="U109" s="248">
        <v>2593291006</v>
      </c>
      <c r="V109" s="248">
        <v>2638580879</v>
      </c>
      <c r="W109" s="248">
        <v>2000000000</v>
      </c>
      <c r="X109" s="248"/>
      <c r="Y109" s="293"/>
      <c r="Z109" s="248"/>
      <c r="AA109" s="248"/>
      <c r="AB109" s="248"/>
      <c r="AC109" s="248"/>
      <c r="AD109" s="293"/>
      <c r="AE109" s="248"/>
      <c r="AF109" s="248"/>
      <c r="AG109" s="248"/>
      <c r="AH109" s="248"/>
      <c r="AI109" s="296"/>
      <c r="AJ109" s="228"/>
    </row>
    <row r="110" spans="1:36">
      <c r="A110" s="150" t="s">
        <v>139</v>
      </c>
      <c r="C110" s="248"/>
      <c r="D110" s="295"/>
      <c r="E110" s="248"/>
      <c r="F110" s="248">
        <f>F108+F109</f>
        <v>31151006472</v>
      </c>
      <c r="G110" s="248"/>
      <c r="H110" s="248"/>
      <c r="I110" s="248">
        <f>I108+I109</f>
        <v>23990456400</v>
      </c>
      <c r="J110" s="292"/>
      <c r="K110" s="292"/>
      <c r="L110" s="248"/>
      <c r="M110" s="248"/>
      <c r="N110" s="248"/>
      <c r="O110" s="248">
        <f>O108+O109</f>
        <v>21661600274</v>
      </c>
      <c r="P110" s="248">
        <f>P108+P109</f>
        <v>9631189017</v>
      </c>
      <c r="Q110" s="248"/>
      <c r="R110" s="248"/>
      <c r="S110" s="248"/>
      <c r="T110" s="248"/>
      <c r="U110" s="248">
        <f>U108+U109</f>
        <v>15412513258</v>
      </c>
      <c r="V110" s="248">
        <f>V108+V109</f>
        <v>12984869684</v>
      </c>
      <c r="W110" s="248">
        <f>W108+W109</f>
        <v>14547158519</v>
      </c>
      <c r="X110" s="248"/>
      <c r="Y110" s="293"/>
      <c r="Z110" s="296"/>
      <c r="AA110" s="296"/>
      <c r="AB110" s="248"/>
      <c r="AC110" s="248"/>
      <c r="AD110" s="296"/>
      <c r="AE110" s="296"/>
      <c r="AF110" s="296"/>
      <c r="AG110" s="296"/>
      <c r="AH110" s="296"/>
      <c r="AI110" s="296"/>
      <c r="AJ110" s="228"/>
    </row>
    <row r="111" spans="1:36">
      <c r="A111" s="150" t="s">
        <v>407</v>
      </c>
      <c r="C111" s="297"/>
      <c r="D111" s="297"/>
      <c r="E111" s="248"/>
      <c r="F111" s="248"/>
      <c r="G111" s="228"/>
      <c r="H111" s="293"/>
      <c r="I111" s="248"/>
      <c r="J111" s="292"/>
      <c r="K111" s="297"/>
      <c r="L111" s="248"/>
      <c r="M111" s="248"/>
      <c r="N111" s="248"/>
      <c r="O111" s="296">
        <f>O34+O54</f>
        <v>58905192</v>
      </c>
      <c r="P111" s="248">
        <f>P8+P10+P32+P34+P54+P60+P78+P81+P82+P96+P100</f>
        <v>15967234011</v>
      </c>
      <c r="Q111" s="296"/>
      <c r="R111" s="228"/>
      <c r="S111" s="296"/>
      <c r="T111" s="296"/>
      <c r="U111" s="248">
        <f>U10+U96+U100</f>
        <v>4187386237</v>
      </c>
      <c r="V111" s="248">
        <f>V46+V78+V80+V81+V82+V85+V96</f>
        <v>8938850141</v>
      </c>
      <c r="W111" s="293">
        <f>W12+W36+W41+W46</f>
        <v>437711165</v>
      </c>
      <c r="X111" s="248">
        <f>X40+X78+X80+X81+X85+X89+X90+X92+X96</f>
        <v>11903359020</v>
      </c>
      <c r="Y111" s="296"/>
      <c r="Z111" s="296"/>
      <c r="AA111" s="296"/>
      <c r="AB111" s="248"/>
      <c r="AC111" s="228"/>
      <c r="AD111" s="228"/>
      <c r="AE111" s="228"/>
      <c r="AF111" s="228"/>
      <c r="AG111" s="248"/>
      <c r="AH111" s="248"/>
      <c r="AI111" s="228"/>
      <c r="AJ111" s="296"/>
    </row>
    <row r="112" spans="1:36">
      <c r="C112" s="193"/>
      <c r="F112" s="154"/>
      <c r="I112" s="219"/>
      <c r="K112" s="218"/>
      <c r="L112" s="154"/>
      <c r="R112" s="217"/>
      <c r="S112" s="219"/>
      <c r="V112" s="154"/>
      <c r="W112" s="219"/>
      <c r="X112" s="219"/>
      <c r="AD112" s="398" t="s">
        <v>639</v>
      </c>
      <c r="AE112" s="398"/>
      <c r="AF112" s="398"/>
    </row>
    <row r="113" spans="3:42">
      <c r="L113" s="154"/>
      <c r="Y113" s="154"/>
      <c r="AD113" s="284" t="s">
        <v>443</v>
      </c>
      <c r="AE113" s="285" t="s">
        <v>444</v>
      </c>
      <c r="AF113" s="284" t="s">
        <v>445</v>
      </c>
      <c r="AG113" s="283"/>
      <c r="AH113" s="222"/>
      <c r="AI113" s="169"/>
      <c r="AJ113" s="176"/>
    </row>
    <row r="114" spans="3:42">
      <c r="C114" s="150"/>
      <c r="D114" s="150"/>
      <c r="F114" s="395" t="s">
        <v>481</v>
      </c>
      <c r="G114" s="395"/>
      <c r="H114" s="395" t="s">
        <v>481</v>
      </c>
      <c r="I114" s="395"/>
      <c r="J114" s="395" t="s">
        <v>481</v>
      </c>
      <c r="K114" s="395"/>
      <c r="L114" s="395" t="s">
        <v>481</v>
      </c>
      <c r="M114" s="395"/>
      <c r="P114" s="298" t="s">
        <v>430</v>
      </c>
      <c r="Q114" s="298"/>
      <c r="R114" s="395" t="s">
        <v>481</v>
      </c>
      <c r="S114" s="395"/>
      <c r="T114" s="395"/>
      <c r="AD114" s="169" t="s">
        <v>640</v>
      </c>
      <c r="AE114" s="176" t="s">
        <v>641</v>
      </c>
      <c r="AF114" s="176">
        <v>2010000</v>
      </c>
      <c r="AG114" s="222"/>
      <c r="AH114" s="222"/>
      <c r="AI114" s="169"/>
      <c r="AJ114" s="176"/>
    </row>
    <row r="115" spans="3:42" ht="49.5" customHeight="1">
      <c r="F115" s="395" t="s">
        <v>482</v>
      </c>
      <c r="G115" s="395"/>
      <c r="H115" s="395" t="s">
        <v>504</v>
      </c>
      <c r="I115" s="395"/>
      <c r="J115" s="395" t="s">
        <v>508</v>
      </c>
      <c r="K115" s="395"/>
      <c r="L115" s="395" t="s">
        <v>546</v>
      </c>
      <c r="M115" s="395"/>
      <c r="O115" s="150" t="s">
        <v>375</v>
      </c>
      <c r="P115" s="299">
        <v>44635</v>
      </c>
      <c r="Q115" s="299"/>
      <c r="R115" s="402" t="s">
        <v>603</v>
      </c>
      <c r="S115" s="402"/>
      <c r="T115" s="402"/>
      <c r="U115" s="185"/>
      <c r="AA115" s="150" t="s">
        <v>111</v>
      </c>
      <c r="AD115" s="162" t="s">
        <v>611</v>
      </c>
      <c r="AE115" s="313" t="s">
        <v>642</v>
      </c>
      <c r="AF115" s="314">
        <v>3735000</v>
      </c>
      <c r="AG115" s="222"/>
      <c r="AH115" s="222"/>
      <c r="AI115" s="169"/>
      <c r="AJ115" s="176"/>
    </row>
    <row r="116" spans="3:42" ht="31.5">
      <c r="F116" s="311"/>
      <c r="G116" s="311"/>
      <c r="H116" s="311"/>
      <c r="I116" s="311"/>
      <c r="J116" s="311"/>
      <c r="K116" s="311"/>
      <c r="L116" s="311"/>
      <c r="M116" s="311"/>
      <c r="P116" s="299"/>
      <c r="Q116" s="299"/>
      <c r="R116" s="312"/>
      <c r="S116" s="312"/>
      <c r="T116" s="312"/>
      <c r="U116" s="185"/>
      <c r="AD116" s="162" t="s">
        <v>644</v>
      </c>
      <c r="AE116" s="313" t="s">
        <v>645</v>
      </c>
      <c r="AF116" s="314">
        <v>10000000</v>
      </c>
      <c r="AG116" s="248"/>
      <c r="AH116" s="248"/>
      <c r="AI116" s="169"/>
      <c r="AJ116" s="176"/>
    </row>
    <row r="117" spans="3:42">
      <c r="C117" s="150"/>
      <c r="D117" s="150"/>
      <c r="F117" s="169"/>
      <c r="G117" s="176"/>
      <c r="H117" s="154"/>
      <c r="J117" s="169"/>
      <c r="K117" s="176"/>
      <c r="L117" s="169"/>
      <c r="M117" s="176"/>
      <c r="N117" s="247"/>
      <c r="O117" s="247"/>
      <c r="P117" s="250"/>
      <c r="Q117" s="250"/>
      <c r="R117" s="250"/>
      <c r="S117" s="250"/>
      <c r="T117" s="250"/>
      <c r="U117" s="247"/>
      <c r="V117" s="247"/>
      <c r="W117" s="226"/>
      <c r="X117" s="176"/>
      <c r="Y117" s="248"/>
      <c r="Z117" s="154"/>
      <c r="AD117" s="169"/>
      <c r="AE117" s="176"/>
      <c r="AF117" s="176"/>
      <c r="AI117" s="169"/>
      <c r="AJ117" s="176"/>
    </row>
    <row r="118" spans="3:42">
      <c r="C118" s="150"/>
      <c r="D118" s="150"/>
      <c r="F118" s="169"/>
      <c r="G118" s="176"/>
      <c r="H118" s="154"/>
      <c r="I118" s="154"/>
      <c r="J118" s="169"/>
      <c r="K118" s="176"/>
      <c r="L118" s="169" t="s">
        <v>523</v>
      </c>
      <c r="M118" s="176">
        <v>1460000</v>
      </c>
      <c r="O118" s="228"/>
      <c r="P118" s="305"/>
      <c r="Q118" s="305"/>
      <c r="R118" s="305"/>
      <c r="S118" s="305"/>
      <c r="T118" s="251"/>
      <c r="U118" s="228"/>
      <c r="V118" s="229"/>
      <c r="W118" s="169" t="s">
        <v>534</v>
      </c>
      <c r="X118" s="176">
        <v>4745000</v>
      </c>
      <c r="Y118" s="154"/>
      <c r="Z118" s="154"/>
      <c r="AB118" s="150" t="s">
        <v>111</v>
      </c>
      <c r="AD118" s="169" t="s">
        <v>241</v>
      </c>
      <c r="AE118" s="176"/>
      <c r="AF118" s="176">
        <f>SUM(AF114:AF116)</f>
        <v>15745000</v>
      </c>
      <c r="AI118" s="169"/>
      <c r="AJ118" s="176"/>
    </row>
    <row r="119" spans="3:42">
      <c r="C119" s="150"/>
      <c r="D119" s="150"/>
      <c r="F119" s="169"/>
      <c r="G119" s="176"/>
      <c r="H119" s="154"/>
      <c r="I119" s="154"/>
      <c r="J119" s="169"/>
      <c r="K119" s="176"/>
      <c r="L119" s="169" t="s">
        <v>524</v>
      </c>
      <c r="M119" s="176">
        <v>1089999</v>
      </c>
      <c r="O119" s="228"/>
      <c r="P119" s="305"/>
      <c r="Q119" s="305"/>
      <c r="R119" s="305"/>
      <c r="S119" s="305"/>
      <c r="T119" s="251"/>
      <c r="U119" s="228"/>
      <c r="V119" s="229"/>
      <c r="W119" s="169"/>
      <c r="X119" s="176"/>
      <c r="Y119" s="154"/>
      <c r="Z119" s="154">
        <f>SUM(Z117:Z118)</f>
        <v>0</v>
      </c>
      <c r="AD119" s="169"/>
      <c r="AE119" s="176"/>
      <c r="AF119" s="176"/>
      <c r="AI119" s="169"/>
      <c r="AJ119" s="176"/>
    </row>
    <row r="120" spans="3:42">
      <c r="C120" s="150"/>
      <c r="D120" s="150"/>
      <c r="F120" s="169"/>
      <c r="G120" s="176"/>
      <c r="H120" s="154"/>
      <c r="I120" s="154"/>
      <c r="J120" s="169"/>
      <c r="K120" s="176"/>
      <c r="L120" s="169" t="s">
        <v>525</v>
      </c>
      <c r="M120" s="176">
        <v>500000</v>
      </c>
      <c r="O120" s="228"/>
      <c r="P120" s="305"/>
      <c r="Q120" s="305"/>
      <c r="R120" s="305"/>
      <c r="S120" s="305"/>
      <c r="T120" s="251"/>
      <c r="U120" s="228"/>
      <c r="V120" s="229"/>
      <c r="W120" s="169" t="s">
        <v>241</v>
      </c>
      <c r="X120" s="272">
        <f>SUM(X117:X119)</f>
        <v>4745000</v>
      </c>
      <c r="Y120" s="154"/>
      <c r="Z120" s="154"/>
      <c r="AA120" s="150" t="s">
        <v>112</v>
      </c>
      <c r="AD120" s="287"/>
      <c r="AE120" s="288"/>
      <c r="AI120" s="169"/>
      <c r="AJ120" s="176"/>
    </row>
    <row r="121" spans="3:42">
      <c r="C121" s="150"/>
      <c r="D121" s="150"/>
      <c r="F121" s="169" t="s">
        <v>489</v>
      </c>
      <c r="G121" s="176">
        <v>3293250</v>
      </c>
      <c r="I121" s="154"/>
      <c r="J121" s="169"/>
      <c r="K121" s="176"/>
      <c r="L121" s="169" t="s">
        <v>526</v>
      </c>
      <c r="M121" s="176">
        <v>15000000</v>
      </c>
      <c r="N121" s="247"/>
      <c r="O121" s="247"/>
      <c r="P121" s="250" t="s">
        <v>440</v>
      </c>
      <c r="Q121" s="250"/>
      <c r="R121" s="250"/>
      <c r="S121" s="250" t="s">
        <v>441</v>
      </c>
      <c r="T121" s="250">
        <v>32809000</v>
      </c>
      <c r="U121" s="247"/>
      <c r="V121" s="247"/>
      <c r="W121" s="226"/>
      <c r="X121" s="169"/>
      <c r="Y121" s="248"/>
      <c r="Z121" s="248"/>
      <c r="AD121" s="169"/>
      <c r="AE121" s="176"/>
      <c r="AI121" s="169"/>
      <c r="AJ121" s="176"/>
      <c r="AM121" s="150" t="s">
        <v>111</v>
      </c>
    </row>
    <row r="122" spans="3:42">
      <c r="C122" s="150"/>
      <c r="D122" s="150"/>
      <c r="F122" s="169"/>
      <c r="G122" s="176"/>
      <c r="I122" s="154"/>
      <c r="J122" s="169"/>
      <c r="K122" s="176"/>
      <c r="L122" s="169"/>
      <c r="M122" s="176"/>
      <c r="N122" s="247"/>
      <c r="O122" s="247"/>
      <c r="P122" s="250"/>
      <c r="Q122" s="250"/>
      <c r="R122" s="250"/>
      <c r="S122" s="250"/>
      <c r="T122" s="250"/>
      <c r="U122" s="247"/>
      <c r="V122" s="247"/>
      <c r="W122" s="226"/>
      <c r="X122" s="169"/>
      <c r="Y122" s="154"/>
      <c r="Z122" s="154"/>
      <c r="AA122" s="150" t="s">
        <v>112</v>
      </c>
      <c r="AD122" s="169"/>
      <c r="AE122" s="176"/>
      <c r="AI122" s="169"/>
      <c r="AJ122" s="176"/>
    </row>
    <row r="123" spans="3:42">
      <c r="C123" s="150"/>
      <c r="D123" s="150"/>
      <c r="E123" s="150" t="s">
        <v>111</v>
      </c>
      <c r="F123" s="169" t="s">
        <v>490</v>
      </c>
      <c r="G123" s="176">
        <v>5729600</v>
      </c>
      <c r="I123" s="154"/>
      <c r="J123" s="169" t="s">
        <v>241</v>
      </c>
      <c r="K123" s="176">
        <f>SUM(K117:K121)</f>
        <v>0</v>
      </c>
      <c r="L123" s="169" t="s">
        <v>241</v>
      </c>
      <c r="M123" s="176">
        <f>SUM(M117:M121)</f>
        <v>18049999</v>
      </c>
      <c r="N123" s="247"/>
      <c r="O123" s="247"/>
      <c r="P123" s="250" t="s">
        <v>440</v>
      </c>
      <c r="Q123" s="250"/>
      <c r="R123" s="250"/>
      <c r="S123" s="250" t="s">
        <v>442</v>
      </c>
      <c r="T123" s="250">
        <v>6107500</v>
      </c>
      <c r="U123" s="247"/>
      <c r="V123" s="247"/>
      <c r="W123" s="226"/>
      <c r="X123" s="169"/>
      <c r="Y123" s="248"/>
      <c r="Z123" s="248"/>
      <c r="AD123" s="169"/>
      <c r="AE123" s="176"/>
      <c r="AI123" s="169"/>
      <c r="AJ123" s="176"/>
    </row>
    <row r="124" spans="3:42">
      <c r="C124" s="150"/>
      <c r="D124" s="154"/>
      <c r="E124" s="154">
        <v>3913100</v>
      </c>
      <c r="F124" s="169"/>
      <c r="G124" s="176"/>
      <c r="I124" s="154"/>
      <c r="J124" s="193"/>
      <c r="O124" s="228"/>
      <c r="P124" s="248"/>
      <c r="Q124" s="248"/>
      <c r="R124" s="248"/>
      <c r="S124" s="248"/>
      <c r="T124" s="248"/>
      <c r="U124" s="248"/>
      <c r="V124" s="228"/>
      <c r="W124" s="248"/>
      <c r="X124" s="248"/>
      <c r="Y124" s="154"/>
      <c r="Z124" s="154"/>
      <c r="AA124" s="154"/>
      <c r="AD124" s="169"/>
      <c r="AE124" s="176"/>
      <c r="AI124" s="169"/>
      <c r="AJ124" s="176"/>
    </row>
    <row r="125" spans="3:42">
      <c r="D125" s="193" t="s">
        <v>111</v>
      </c>
      <c r="E125" s="154">
        <v>5857200</v>
      </c>
      <c r="F125" s="169" t="s">
        <v>241</v>
      </c>
      <c r="G125" s="176">
        <f>SUM(G117:G124)</f>
        <v>9022850</v>
      </c>
      <c r="H125" s="154"/>
      <c r="I125" s="154"/>
      <c r="J125" s="193"/>
      <c r="P125" s="247"/>
      <c r="Q125" s="247"/>
      <c r="R125" s="247"/>
      <c r="S125" s="247"/>
      <c r="T125" s="154"/>
      <c r="U125" s="154"/>
      <c r="W125" s="154"/>
      <c r="X125" s="154"/>
      <c r="Y125" s="154"/>
      <c r="Z125" s="154"/>
      <c r="AA125" s="154" t="s">
        <v>111</v>
      </c>
      <c r="AD125" s="169"/>
      <c r="AE125" s="176"/>
      <c r="AI125" s="192"/>
      <c r="AJ125" s="227"/>
    </row>
    <row r="126" spans="3:42">
      <c r="D126" s="193"/>
      <c r="E126" s="154">
        <v>4120000</v>
      </c>
      <c r="G126" s="154"/>
      <c r="H126" s="154"/>
      <c r="I126" s="154"/>
      <c r="J126" s="193"/>
      <c r="K126" s="182">
        <v>692937298</v>
      </c>
      <c r="L126" s="150">
        <v>479911917</v>
      </c>
      <c r="M126" s="150">
        <v>950000</v>
      </c>
      <c r="P126" s="154"/>
      <c r="Q126" s="154"/>
      <c r="R126" s="154"/>
      <c r="S126" s="154"/>
      <c r="T126" s="154"/>
      <c r="U126" s="154"/>
      <c r="W126" s="248"/>
      <c r="X126" s="248"/>
      <c r="Y126" s="248"/>
      <c r="Z126" s="248"/>
      <c r="AA126" s="154"/>
      <c r="AD126" s="169"/>
      <c r="AE126" s="176"/>
      <c r="AJ126" s="154"/>
    </row>
    <row r="127" spans="3:42">
      <c r="D127" s="193"/>
      <c r="E127" s="154">
        <v>1750000</v>
      </c>
      <c r="G127" s="154"/>
      <c r="H127" s="154"/>
      <c r="I127" s="154"/>
      <c r="J127" s="193"/>
      <c r="K127" s="193" t="e">
        <f ca="1">[3]!terbilang(K126)</f>
        <v>#NAME?</v>
      </c>
      <c r="L127" s="193" t="e">
        <f ca="1">[3]!terbilang(L126)</f>
        <v>#NAME?</v>
      </c>
      <c r="M127" s="193" t="e">
        <f ca="1">[3]!terbilang(M126)</f>
        <v>#NAME?</v>
      </c>
      <c r="P127" s="154"/>
      <c r="Q127" s="154"/>
      <c r="R127" s="154"/>
      <c r="S127" s="154"/>
      <c r="T127" s="154"/>
      <c r="U127" s="154"/>
      <c r="W127" s="154"/>
      <c r="X127" s="154"/>
      <c r="Y127" s="154"/>
      <c r="Z127" s="154"/>
      <c r="AA127" s="154"/>
      <c r="AD127" s="192" t="s">
        <v>241</v>
      </c>
      <c r="AE127" s="227">
        <f>SUM(AE113:AE125)</f>
        <v>0</v>
      </c>
      <c r="AJ127" s="154"/>
      <c r="AL127" s="150" t="s">
        <v>112</v>
      </c>
    </row>
    <row r="128" spans="3:42">
      <c r="D128" s="193"/>
      <c r="E128" s="154">
        <v>1350000</v>
      </c>
      <c r="H128" s="154"/>
      <c r="I128" s="154"/>
      <c r="K128" s="193">
        <v>7868160</v>
      </c>
      <c r="L128" s="154">
        <v>183760182</v>
      </c>
      <c r="M128" s="154">
        <v>143616525</v>
      </c>
      <c r="N128" s="154"/>
      <c r="O128" s="154"/>
      <c r="P128" s="154"/>
      <c r="Q128" s="154"/>
      <c r="R128" s="154"/>
      <c r="S128" s="154"/>
      <c r="T128" s="154"/>
      <c r="U128" s="154"/>
      <c r="W128" s="248"/>
      <c r="X128" s="248"/>
      <c r="Y128" s="248"/>
      <c r="Z128" s="248"/>
      <c r="AA128" s="154"/>
      <c r="AG128" s="154">
        <v>202787778</v>
      </c>
      <c r="AH128" s="154">
        <v>168013836</v>
      </c>
      <c r="AI128" s="154">
        <v>88797176</v>
      </c>
      <c r="AJ128" s="154">
        <v>287208700</v>
      </c>
      <c r="AP128" s="150" t="s">
        <v>108</v>
      </c>
    </row>
    <row r="129" spans="3:36">
      <c r="D129" s="193"/>
      <c r="E129" s="154">
        <v>27759800</v>
      </c>
      <c r="H129" s="154"/>
      <c r="I129" s="154"/>
      <c r="K129" s="193" t="e">
        <f ca="1">[3]!terbilang(K128)</f>
        <v>#NAME?</v>
      </c>
      <c r="L129" s="193" t="e">
        <f ca="1">[3]!terbilang(L128)</f>
        <v>#NAME?</v>
      </c>
      <c r="M129" s="193" t="e">
        <f ca="1">[3]!terbilang(M128)</f>
        <v>#NAME?</v>
      </c>
      <c r="N129" s="154"/>
      <c r="O129" s="154"/>
      <c r="P129" s="154"/>
      <c r="Q129" s="154"/>
      <c r="R129" s="154"/>
      <c r="S129" s="154"/>
      <c r="T129" s="154"/>
      <c r="U129" s="154"/>
      <c r="W129" s="154"/>
      <c r="X129" s="154"/>
      <c r="Y129" s="154"/>
      <c r="Z129" s="154"/>
      <c r="AA129" s="154"/>
      <c r="AB129" s="150" t="s">
        <v>112</v>
      </c>
      <c r="AD129" s="150" t="s">
        <v>415</v>
      </c>
      <c r="AF129" s="154">
        <v>1000000000</v>
      </c>
      <c r="AG129" s="154" t="e">
        <f ca="1">[3]!terbilang(AG128)</f>
        <v>#NAME?</v>
      </c>
      <c r="AH129" s="154" t="e">
        <f ca="1">[3]!terbilang(AH128)</f>
        <v>#NAME?</v>
      </c>
      <c r="AI129" s="154" t="e">
        <f ca="1">[3]!terbilang(AI128)</f>
        <v>#NAME?</v>
      </c>
      <c r="AJ129" s="154" t="e">
        <f ca="1">[3]!terbilang(AJ128)</f>
        <v>#NAME?</v>
      </c>
    </row>
    <row r="130" spans="3:36">
      <c r="C130" s="150"/>
      <c r="D130" s="154"/>
      <c r="E130" s="154">
        <v>27759800</v>
      </c>
      <c r="H130" s="154"/>
      <c r="I130" s="154"/>
      <c r="K130" s="193">
        <v>1361354086</v>
      </c>
      <c r="L130" s="154">
        <v>6655509</v>
      </c>
      <c r="M130" s="154">
        <v>3069928984</v>
      </c>
      <c r="N130" s="154"/>
      <c r="O130" s="154"/>
      <c r="P130" s="154"/>
      <c r="Q130" s="154"/>
      <c r="R130" s="154"/>
      <c r="S130" s="154"/>
      <c r="T130" s="154"/>
      <c r="U130" s="154"/>
      <c r="W130" s="248"/>
      <c r="X130" s="154"/>
      <c r="Y130" s="154"/>
      <c r="Z130" s="154"/>
      <c r="AA130" s="154"/>
      <c r="AE130" s="154">
        <v>160312320</v>
      </c>
      <c r="AF130" s="154" t="e">
        <f ca="1">[3]!terbilang(AF129)</f>
        <v>#NAME?</v>
      </c>
      <c r="AG130" s="154"/>
      <c r="AH130" s="154"/>
      <c r="AI130" s="154"/>
      <c r="AJ130" s="154"/>
    </row>
    <row r="131" spans="3:36">
      <c r="C131" s="150"/>
      <c r="D131" s="154"/>
      <c r="E131" s="154">
        <v>27759800</v>
      </c>
      <c r="G131" s="154">
        <v>2941161888</v>
      </c>
      <c r="H131" s="154"/>
      <c r="I131" s="154">
        <v>500000000</v>
      </c>
      <c r="J131" s="193"/>
      <c r="K131" s="193" t="e">
        <f ca="1">[3]!terbilang(K130)</f>
        <v>#NAME?</v>
      </c>
      <c r="L131" s="193" t="e">
        <f ca="1">[3]!terbilang(L130)</f>
        <v>#NAME?</v>
      </c>
      <c r="M131" s="193" t="e">
        <f ca="1">[3]!terbilang(M130)</f>
        <v>#NAME?</v>
      </c>
      <c r="N131" s="193"/>
      <c r="O131" s="193"/>
      <c r="P131" s="193"/>
      <c r="Q131" s="154"/>
      <c r="R131" s="154"/>
      <c r="S131" s="154"/>
      <c r="T131" s="154"/>
      <c r="U131" s="154"/>
      <c r="W131" s="154"/>
      <c r="X131" s="154"/>
      <c r="Y131" s="154"/>
      <c r="Z131" s="154"/>
      <c r="AA131" s="154"/>
      <c r="AC131" s="150" t="s">
        <v>111</v>
      </c>
      <c r="AE131" s="154" t="e">
        <f ca="1">[3]!terbilang(AE130)</f>
        <v>#NAME?</v>
      </c>
      <c r="AF131" s="154"/>
      <c r="AG131" s="154"/>
      <c r="AH131" s="154"/>
      <c r="AI131" s="154"/>
      <c r="AJ131" s="154"/>
    </row>
    <row r="132" spans="3:36">
      <c r="D132" s="193"/>
      <c r="F132" s="219"/>
      <c r="G132" s="154" t="e">
        <f ca="1">[3]!terbilang(G131)</f>
        <v>#NAME?</v>
      </c>
      <c r="H132" s="154">
        <v>43053981</v>
      </c>
      <c r="I132" s="154" t="e">
        <f ca="1">[3]!terbilang(I131)</f>
        <v>#NAME?</v>
      </c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W132" s="154"/>
      <c r="X132" s="154"/>
      <c r="Y132" s="248" t="e">
        <f ca="1">[3]!terbilang(Y129)</f>
        <v>#NAME?</v>
      </c>
      <c r="Z132" s="154" t="s">
        <v>111</v>
      </c>
      <c r="AA132" s="154"/>
      <c r="AE132" s="154">
        <v>17329877</v>
      </c>
      <c r="AF132" s="154"/>
      <c r="AG132" s="154"/>
      <c r="AH132" s="154"/>
      <c r="AI132" s="154"/>
      <c r="AJ132" s="154"/>
    </row>
    <row r="133" spans="3:36">
      <c r="G133" s="154"/>
      <c r="H133" s="193" t="e">
        <f ca="1">[3]!terbilang(H132)</f>
        <v>#NAME?</v>
      </c>
      <c r="I133" s="193">
        <v>1089999</v>
      </c>
      <c r="J133" s="193"/>
      <c r="K133" s="193"/>
      <c r="L133" s="401" t="s">
        <v>547</v>
      </c>
      <c r="M133" s="401"/>
      <c r="N133" s="401"/>
      <c r="O133" s="154"/>
      <c r="P133" s="401" t="s">
        <v>619</v>
      </c>
      <c r="Q133" s="401"/>
      <c r="R133" s="401"/>
      <c r="S133" s="401" t="s">
        <v>627</v>
      </c>
      <c r="T133" s="401"/>
      <c r="U133" s="401"/>
      <c r="W133" s="248"/>
      <c r="X133" s="248"/>
      <c r="Y133" s="154"/>
      <c r="Z133" s="154"/>
      <c r="AA133" s="154"/>
      <c r="AE133" s="154" t="e">
        <f ca="1">[3]!terbilang(AE132)</f>
        <v>#NAME?</v>
      </c>
      <c r="AF133" s="154"/>
      <c r="AG133" s="154"/>
      <c r="AH133" s="154"/>
      <c r="AI133" s="154"/>
      <c r="AJ133" s="154"/>
    </row>
    <row r="134" spans="3:36">
      <c r="G134" s="154"/>
      <c r="H134" s="154"/>
      <c r="I134" s="154"/>
      <c r="J134" s="154"/>
      <c r="K134" s="154"/>
      <c r="L134" s="176" t="s">
        <v>230</v>
      </c>
      <c r="M134" s="176" t="s">
        <v>444</v>
      </c>
      <c r="N134" s="176" t="s">
        <v>445</v>
      </c>
      <c r="O134" s="154"/>
      <c r="P134" s="285" t="s">
        <v>230</v>
      </c>
      <c r="Q134" s="285" t="s">
        <v>444</v>
      </c>
      <c r="R134" s="285" t="s">
        <v>445</v>
      </c>
      <c r="S134" s="285" t="s">
        <v>230</v>
      </c>
      <c r="T134" s="285" t="s">
        <v>444</v>
      </c>
      <c r="U134" s="285" t="s">
        <v>445</v>
      </c>
      <c r="W134" s="154"/>
      <c r="X134" s="154"/>
      <c r="Y134" s="248" t="e">
        <f ca="1">[3]!terbilang(Y133)</f>
        <v>#NAME?</v>
      </c>
      <c r="Z134" s="248"/>
      <c r="AA134" s="154"/>
      <c r="AB134" s="154"/>
      <c r="AE134" s="154"/>
      <c r="AF134" s="154"/>
      <c r="AG134" s="154"/>
      <c r="AH134" s="154"/>
      <c r="AI134" s="154"/>
      <c r="AJ134" s="154"/>
    </row>
    <row r="135" spans="3:36">
      <c r="D135" s="193">
        <v>56628134</v>
      </c>
      <c r="E135" s="154">
        <v>11313793</v>
      </c>
      <c r="F135" s="154">
        <v>4903555261</v>
      </c>
      <c r="G135" s="154">
        <v>22883258</v>
      </c>
      <c r="H135" s="193"/>
      <c r="I135" s="154"/>
      <c r="J135" s="154"/>
      <c r="K135" s="154"/>
      <c r="L135" s="176" t="s">
        <v>548</v>
      </c>
      <c r="M135" s="176" t="s">
        <v>549</v>
      </c>
      <c r="N135" s="176">
        <v>60794473</v>
      </c>
      <c r="P135" s="176" t="s">
        <v>620</v>
      </c>
      <c r="Q135" s="176" t="s">
        <v>621</v>
      </c>
      <c r="R135" s="176">
        <v>5786000</v>
      </c>
      <c r="S135" s="176" t="s">
        <v>628</v>
      </c>
      <c r="T135" s="176" t="s">
        <v>629</v>
      </c>
      <c r="U135" s="176">
        <v>1440000</v>
      </c>
      <c r="W135" s="248"/>
      <c r="X135" s="248"/>
      <c r="Z135" s="154"/>
      <c r="AA135" s="154"/>
      <c r="AB135" s="154"/>
      <c r="AE135" s="154"/>
      <c r="AF135" s="154"/>
      <c r="AG135" s="154"/>
      <c r="AH135" s="154"/>
      <c r="AI135" s="154"/>
      <c r="AJ135" s="154"/>
    </row>
    <row r="136" spans="3:36">
      <c r="D136" s="193"/>
      <c r="E136" s="154"/>
      <c r="F136" s="154"/>
      <c r="G136" s="154"/>
      <c r="H136" s="193"/>
      <c r="I136" s="154"/>
      <c r="J136" s="154"/>
      <c r="K136" s="154"/>
      <c r="L136" s="176"/>
      <c r="M136" s="176"/>
      <c r="N136" s="176"/>
      <c r="P136" s="176" t="s">
        <v>625</v>
      </c>
      <c r="Q136" s="176" t="s">
        <v>626</v>
      </c>
      <c r="R136" s="176">
        <v>500000</v>
      </c>
      <c r="S136" s="176" t="s">
        <v>123</v>
      </c>
      <c r="T136" s="176" t="s">
        <v>630</v>
      </c>
      <c r="U136" s="176">
        <v>2620000</v>
      </c>
      <c r="W136" s="248"/>
      <c r="X136" s="248"/>
      <c r="Z136" s="154"/>
      <c r="AA136" s="154"/>
      <c r="AB136" s="154"/>
      <c r="AE136" s="154"/>
      <c r="AF136" s="154"/>
      <c r="AG136" s="154"/>
      <c r="AH136" s="154"/>
      <c r="AI136" s="154"/>
      <c r="AJ136" s="154"/>
    </row>
    <row r="137" spans="3:36">
      <c r="D137" s="193" t="e">
        <f ca="1">[3]!terbilang(D135)</f>
        <v>#NAME?</v>
      </c>
      <c r="E137" s="193" t="e">
        <f ca="1">[3]!terbilang(E135)</f>
        <v>#NAME?</v>
      </c>
      <c r="F137" s="193" t="e">
        <f ca="1">[3]!terbilang(F135)</f>
        <v>#NAME?</v>
      </c>
      <c r="G137" s="193" t="e">
        <f ca="1">[3]!terbilang(G135)</f>
        <v>#NAME?</v>
      </c>
      <c r="H137" s="193" t="e">
        <f ca="1">[3]!terbilang(H135)</f>
        <v>#NAME?</v>
      </c>
      <c r="I137" s="154"/>
      <c r="J137" s="154"/>
      <c r="K137" s="154"/>
      <c r="L137" s="176" t="s">
        <v>548</v>
      </c>
      <c r="M137" s="176" t="s">
        <v>550</v>
      </c>
      <c r="N137" s="176">
        <v>7848418</v>
      </c>
      <c r="P137" s="176" t="s">
        <v>437</v>
      </c>
      <c r="Q137" s="176" t="s">
        <v>622</v>
      </c>
      <c r="R137" s="176">
        <v>3015600</v>
      </c>
      <c r="S137" s="176" t="s">
        <v>134</v>
      </c>
      <c r="T137" s="176" t="s">
        <v>631</v>
      </c>
      <c r="U137" s="176">
        <v>4270000</v>
      </c>
      <c r="X137" s="154"/>
      <c r="Z137" s="154"/>
      <c r="AA137" s="154">
        <v>120268030</v>
      </c>
      <c r="AB137" s="154">
        <v>885016</v>
      </c>
      <c r="AC137" s="154">
        <v>475000</v>
      </c>
      <c r="AD137" s="154">
        <v>109981839</v>
      </c>
      <c r="AE137" s="154"/>
      <c r="AF137" s="154"/>
      <c r="AG137" s="154"/>
      <c r="AH137" s="154"/>
      <c r="AI137" s="154"/>
      <c r="AJ137" s="154"/>
    </row>
    <row r="138" spans="3:36">
      <c r="D138" s="193">
        <v>2867700789</v>
      </c>
      <c r="E138" s="193">
        <v>13711355</v>
      </c>
      <c r="F138" s="193">
        <v>2813544</v>
      </c>
      <c r="G138" s="193">
        <v>1144573898</v>
      </c>
      <c r="H138" s="193"/>
      <c r="I138" s="154"/>
      <c r="J138" s="154"/>
      <c r="K138" s="154"/>
      <c r="L138" s="176" t="s">
        <v>551</v>
      </c>
      <c r="M138" s="169" t="s">
        <v>552</v>
      </c>
      <c r="N138" s="176">
        <v>9685742</v>
      </c>
      <c r="P138" s="176" t="s">
        <v>623</v>
      </c>
      <c r="Q138" s="169" t="s">
        <v>624</v>
      </c>
      <c r="R138" s="176">
        <v>8643800</v>
      </c>
      <c r="S138" s="176"/>
      <c r="T138" s="169"/>
      <c r="U138" s="176"/>
      <c r="W138" s="154"/>
      <c r="X138" s="154">
        <v>30000</v>
      </c>
      <c r="Z138" s="154"/>
      <c r="AA138" s="154" t="e">
        <f ca="1">[3]!terbilang(AA137)</f>
        <v>#NAME?</v>
      </c>
      <c r="AB138" s="154" t="e">
        <f ca="1">[3]!terbilang(AB137)</f>
        <v>#NAME?</v>
      </c>
      <c r="AC138" s="154" t="e">
        <f ca="1">[3]!terbilang(AC137)</f>
        <v>#NAME?</v>
      </c>
      <c r="AD138" s="154" t="e">
        <f ca="1">[3]!terbilang(AD137)</f>
        <v>#NAME?</v>
      </c>
      <c r="AE138" s="154" t="e">
        <f ca="1">[3]!terbilang(AE137)</f>
        <v>#NAME?</v>
      </c>
      <c r="AF138" s="154"/>
      <c r="AG138" s="154"/>
      <c r="AH138" s="154"/>
      <c r="AI138" s="154"/>
      <c r="AJ138" s="154"/>
    </row>
    <row r="139" spans="3:36">
      <c r="C139" s="150"/>
      <c r="D139" s="193" t="s">
        <v>543</v>
      </c>
      <c r="E139" s="154"/>
      <c r="F139" s="154"/>
      <c r="G139" s="154"/>
      <c r="H139" s="154"/>
      <c r="I139" s="154"/>
      <c r="K139" s="193"/>
      <c r="L139" s="176" t="s">
        <v>562</v>
      </c>
      <c r="M139" s="169" t="s">
        <v>561</v>
      </c>
      <c r="N139" s="176">
        <v>7905800</v>
      </c>
      <c r="P139" s="176"/>
      <c r="Q139" s="169"/>
      <c r="R139" s="176"/>
      <c r="S139" s="176"/>
      <c r="T139" s="169"/>
      <c r="U139" s="176"/>
      <c r="W139" s="154"/>
      <c r="X139" s="154"/>
      <c r="AA139" s="154">
        <v>61413907</v>
      </c>
      <c r="AB139" s="154">
        <v>3972793561</v>
      </c>
      <c r="AC139" s="154">
        <v>1790500641</v>
      </c>
      <c r="AD139" s="154">
        <v>3552000</v>
      </c>
      <c r="AE139" s="154"/>
      <c r="AF139" s="154"/>
      <c r="AG139" s="154"/>
      <c r="AH139" s="154"/>
    </row>
    <row r="140" spans="3:36">
      <c r="C140" s="150"/>
      <c r="D140" s="193" t="s">
        <v>542</v>
      </c>
      <c r="E140" s="154"/>
      <c r="F140" s="154"/>
      <c r="G140" s="154"/>
      <c r="H140" s="154"/>
      <c r="J140" s="154"/>
      <c r="K140" s="154"/>
      <c r="L140" s="227" t="s">
        <v>563</v>
      </c>
      <c r="M140" s="192"/>
      <c r="N140" s="227">
        <f>SUM(N135:N139)</f>
        <v>86234433</v>
      </c>
      <c r="P140" s="227" t="s">
        <v>563</v>
      </c>
      <c r="Q140" s="192"/>
      <c r="R140" s="227">
        <f>SUM(R135:R139)</f>
        <v>17945400</v>
      </c>
      <c r="S140" s="227" t="s">
        <v>563</v>
      </c>
      <c r="T140" s="192"/>
      <c r="U140" s="227">
        <f>SUM(U135:U139)</f>
        <v>8330000</v>
      </c>
      <c r="W140" s="248"/>
      <c r="X140" s="248" t="e">
        <f ca="1">[3]!terbilang(X139)</f>
        <v>#NAME?</v>
      </c>
      <c r="Z140" s="154"/>
      <c r="AA140" s="154" t="e">
        <f ca="1">[3]!terbilang(AA139)</f>
        <v>#NAME?</v>
      </c>
      <c r="AB140" s="154" t="e">
        <f ca="1">[3]!terbilang(AB139)</f>
        <v>#NAME?</v>
      </c>
      <c r="AC140" s="154" t="e">
        <f ca="1">[3]!terbilang(AC139)</f>
        <v>#NAME?</v>
      </c>
      <c r="AD140" s="154" t="e">
        <f ca="1">[3]!terbilang(AD139)</f>
        <v>#NAME?</v>
      </c>
      <c r="AF140" s="154"/>
      <c r="AG140" s="154"/>
      <c r="AH140" s="154"/>
    </row>
    <row r="141" spans="3:36">
      <c r="C141" s="150"/>
      <c r="D141" s="193"/>
      <c r="E141" s="193"/>
      <c r="F141" s="193"/>
      <c r="G141" s="193"/>
      <c r="H141" s="154"/>
      <c r="J141" s="193"/>
      <c r="K141" s="193"/>
      <c r="L141" s="154"/>
      <c r="N141" s="154"/>
      <c r="P141" s="154"/>
      <c r="Q141" s="154"/>
      <c r="R141" s="154"/>
      <c r="T141" s="154"/>
      <c r="Z141" s="154" t="s">
        <v>112</v>
      </c>
      <c r="AA141" s="154">
        <v>21276666</v>
      </c>
      <c r="AB141" s="154">
        <v>7518000</v>
      </c>
      <c r="AC141" s="154" t="s">
        <v>111</v>
      </c>
      <c r="AD141" s="154"/>
      <c r="AE141" s="154"/>
      <c r="AF141" s="154"/>
      <c r="AG141" s="154"/>
      <c r="AH141" s="154"/>
    </row>
    <row r="142" spans="3:36">
      <c r="C142" s="150"/>
      <c r="D142" s="193"/>
      <c r="E142" s="154"/>
      <c r="F142" s="154"/>
      <c r="G142" s="154"/>
      <c r="H142" s="154"/>
      <c r="J142" s="193"/>
      <c r="K142" s="193"/>
      <c r="L142" s="154"/>
      <c r="N142" s="154"/>
      <c r="P142" s="154"/>
      <c r="Q142" s="154"/>
      <c r="R142" s="154"/>
      <c r="T142" s="154"/>
      <c r="V142" s="185"/>
      <c r="X142" s="154"/>
      <c r="Z142" s="154"/>
      <c r="AA142" s="154" t="e">
        <f ca="1">[3]!terbilang(AA141)</f>
        <v>#NAME?</v>
      </c>
      <c r="AB142" s="154" t="e">
        <f ca="1">[3]!terbilang(AB141)</f>
        <v>#NAME?</v>
      </c>
      <c r="AC142" s="154" t="e">
        <f ca="1">[3]!terbilang(AC141)</f>
        <v>#NAME?</v>
      </c>
      <c r="AD142" s="154" t="e">
        <f ca="1">[3]!terbilang(AD141)</f>
        <v>#NAME?</v>
      </c>
      <c r="AE142" s="154" t="e">
        <f ca="1">[3]!terbilang(AE141)</f>
        <v>#NAME?</v>
      </c>
      <c r="AG142" s="154"/>
      <c r="AH142" s="154"/>
    </row>
    <row r="143" spans="3:36">
      <c r="C143" s="150"/>
      <c r="D143" s="193"/>
      <c r="E143" s="193"/>
      <c r="F143" s="193"/>
      <c r="G143" s="193"/>
      <c r="H143" s="154"/>
      <c r="I143" s="154">
        <v>300966517</v>
      </c>
      <c r="J143" s="193"/>
      <c r="K143" s="193"/>
      <c r="N143" s="154"/>
      <c r="R143" s="185"/>
      <c r="T143" s="154">
        <v>146013961</v>
      </c>
      <c r="U143" s="154">
        <v>248144447</v>
      </c>
      <c r="V143" s="154">
        <v>3793227829</v>
      </c>
      <c r="W143" s="154">
        <v>1500000</v>
      </c>
      <c r="Z143" s="154" t="s">
        <v>111</v>
      </c>
      <c r="AA143" s="154">
        <v>10350000</v>
      </c>
      <c r="AB143" s="154">
        <v>22729543</v>
      </c>
      <c r="AC143" s="154">
        <v>16303742</v>
      </c>
      <c r="AD143" s="154"/>
      <c r="AE143" s="154"/>
      <c r="AF143" s="154"/>
    </row>
    <row r="144" spans="3:36">
      <c r="C144" s="150"/>
      <c r="D144" s="193" t="s">
        <v>545</v>
      </c>
      <c r="E144" s="154"/>
      <c r="F144" s="154"/>
      <c r="G144" s="154"/>
      <c r="H144" s="154">
        <v>8845339</v>
      </c>
      <c r="I144" s="154"/>
      <c r="J144" s="193"/>
      <c r="K144" s="193"/>
      <c r="N144" s="154"/>
      <c r="R144" s="185">
        <v>44545</v>
      </c>
      <c r="S144" s="150" t="s">
        <v>112</v>
      </c>
      <c r="T144" s="154" t="e">
        <f ca="1">[3]!terbilang(T143)</f>
        <v>#NAME?</v>
      </c>
      <c r="U144" s="154" t="e">
        <f ca="1">[3]!terbilang(U143)</f>
        <v>#NAME?</v>
      </c>
      <c r="V144" s="154" t="e">
        <f ca="1">[3]!terbilang(V143)</f>
        <v>#NAME?</v>
      </c>
      <c r="W144" s="154" t="e">
        <f ca="1">[3]!terbilang(W143)</f>
        <v>#NAME?</v>
      </c>
      <c r="AA144" s="154" t="e">
        <f ca="1">[3]!terbilang(AA143)</f>
        <v>#NAME?</v>
      </c>
      <c r="AB144" s="154" t="e">
        <f ca="1">[3]!terbilang(AB143)</f>
        <v>#NAME?</v>
      </c>
      <c r="AC144" s="154" t="e">
        <f ca="1">[3]!terbilang(AC143)</f>
        <v>#NAME?</v>
      </c>
      <c r="AD144" s="154" t="e">
        <f ca="1">[3]!terbilang(AD143)</f>
        <v>#NAME?</v>
      </c>
    </row>
    <row r="145" spans="3:31">
      <c r="C145" s="150"/>
      <c r="D145" s="193"/>
      <c r="E145" s="154"/>
      <c r="F145" s="154"/>
      <c r="G145" s="154"/>
      <c r="H145" s="154">
        <v>59202460</v>
      </c>
      <c r="I145" s="154"/>
      <c r="J145" s="193"/>
      <c r="K145" s="193"/>
      <c r="N145" s="154"/>
      <c r="R145" s="185">
        <v>44545</v>
      </c>
      <c r="T145" s="154">
        <v>2775000</v>
      </c>
      <c r="U145" s="154">
        <v>1206036</v>
      </c>
      <c r="V145" s="150">
        <v>2140000</v>
      </c>
      <c r="W145" s="150">
        <v>2275000</v>
      </c>
      <c r="X145" s="150">
        <v>10000000</v>
      </c>
      <c r="AA145" s="154">
        <v>5260710</v>
      </c>
      <c r="AB145" s="154">
        <v>42449921</v>
      </c>
      <c r="AC145" s="154"/>
      <c r="AD145" s="154"/>
    </row>
    <row r="146" spans="3:31">
      <c r="C146" s="150"/>
      <c r="D146" s="193"/>
      <c r="E146" s="154" t="s">
        <v>112</v>
      </c>
      <c r="F146" s="154"/>
      <c r="G146" s="154"/>
      <c r="H146" s="154">
        <v>14400000</v>
      </c>
      <c r="I146" s="154"/>
      <c r="J146" s="193"/>
      <c r="K146" s="193"/>
      <c r="T146" s="154" t="e">
        <f ca="1">[3]!terbilang(T145)</f>
        <v>#NAME?</v>
      </c>
      <c r="U146" s="154" t="e">
        <f ca="1">[3]!terbilang(U145)</f>
        <v>#NAME?</v>
      </c>
      <c r="V146" s="154" t="e">
        <f ca="1">[3]!terbilang(V145)</f>
        <v>#NAME?</v>
      </c>
      <c r="W146" s="154" t="e">
        <f ca="1">[3]!terbilang(W145)</f>
        <v>#NAME?</v>
      </c>
      <c r="X146" s="154" t="e">
        <f ca="1">[3]!terbilang(X145)</f>
        <v>#NAME?</v>
      </c>
      <c r="Y146" s="154" t="e">
        <f ca="1">[3]!terbilang(Y145)</f>
        <v>#NAME?</v>
      </c>
      <c r="AA146" s="154" t="e">
        <f ca="1">[3]!terbilang(AA145)</f>
        <v>#NAME?</v>
      </c>
      <c r="AB146" s="154" t="e">
        <f ca="1">[3]!terbilang(AB145)</f>
        <v>#NAME?</v>
      </c>
      <c r="AC146" s="154" t="e">
        <f ca="1">[3]!terbilang(AC145)</f>
        <v>#NAME?</v>
      </c>
      <c r="AD146" s="154"/>
    </row>
    <row r="147" spans="3:31">
      <c r="C147" s="150"/>
      <c r="D147" s="193"/>
      <c r="E147" s="193"/>
      <c r="F147" s="193" t="s">
        <v>111</v>
      </c>
      <c r="G147" s="193"/>
      <c r="H147" s="154">
        <v>9735803</v>
      </c>
      <c r="I147" s="154"/>
      <c r="R147" s="185"/>
      <c r="AA147" s="150" t="s">
        <v>111</v>
      </c>
      <c r="AB147" s="150" t="s">
        <v>111</v>
      </c>
      <c r="AD147" s="154"/>
    </row>
    <row r="148" spans="3:31">
      <c r="C148" s="150"/>
      <c r="D148" s="193"/>
      <c r="E148" s="154"/>
      <c r="F148" s="154"/>
      <c r="G148" s="154"/>
      <c r="H148" s="154">
        <v>102022038</v>
      </c>
      <c r="I148" s="154"/>
      <c r="P148" s="154">
        <v>106405029</v>
      </c>
      <c r="Q148" s="154">
        <v>264162759</v>
      </c>
      <c r="R148" s="154">
        <v>1873622</v>
      </c>
      <c r="S148" s="154">
        <v>1684952150</v>
      </c>
      <c r="T148" s="154" t="e">
        <f ca="1">[3]!terbilang(T147)</f>
        <v>#NAME?</v>
      </c>
      <c r="U148" s="154" t="e">
        <f ca="1">[3]!terbilang(U147)</f>
        <v>#NAME?</v>
      </c>
      <c r="V148" s="154" t="e">
        <f ca="1">[3]!terbilang(V147)</f>
        <v>#NAME?</v>
      </c>
      <c r="W148" s="154" t="e">
        <f ca="1">[3]!terbilang(W147)</f>
        <v>#NAME?</v>
      </c>
      <c r="X148" s="154" t="e">
        <f ca="1">[3]!terbilang(X147)</f>
        <v>#NAME?</v>
      </c>
      <c r="Y148" s="154" t="e">
        <f ca="1">[3]!terbilang(Y147)</f>
        <v>#NAME?</v>
      </c>
      <c r="AA148" s="154"/>
      <c r="AB148" s="154"/>
      <c r="AC148" s="154"/>
    </row>
    <row r="149" spans="3:31">
      <c r="C149" s="150"/>
      <c r="D149" s="193"/>
      <c r="E149" s="193"/>
      <c r="F149" s="193"/>
      <c r="G149" s="193"/>
      <c r="H149" s="154">
        <v>43801144</v>
      </c>
      <c r="I149" s="154"/>
      <c r="P149" s="154" t="e">
        <f ca="1">[3]!terbilang(P148)</f>
        <v>#NAME?</v>
      </c>
      <c r="Q149" s="154" t="e">
        <f ca="1">[3]!terbilang(Q148)</f>
        <v>#NAME?</v>
      </c>
      <c r="R149" s="154" t="e">
        <f ca="1">[3]!terbilang(R148)</f>
        <v>#NAME?</v>
      </c>
      <c r="S149" s="154" t="s">
        <v>89</v>
      </c>
      <c r="T149" s="154"/>
      <c r="AD149" s="154"/>
    </row>
    <row r="150" spans="3:31">
      <c r="C150" s="150"/>
      <c r="D150" s="193"/>
      <c r="E150" s="154"/>
      <c r="F150" s="154"/>
      <c r="G150" s="154"/>
      <c r="H150" s="154">
        <v>408494</v>
      </c>
      <c r="I150" s="154"/>
      <c r="P150" s="154">
        <v>150595511</v>
      </c>
      <c r="Q150" s="154">
        <v>127272878</v>
      </c>
      <c r="R150" s="154">
        <v>182273730</v>
      </c>
      <c r="S150" s="154">
        <v>1968385823</v>
      </c>
      <c r="T150" s="154"/>
      <c r="Y150" s="154"/>
      <c r="Z150" s="154"/>
      <c r="AA150" s="154"/>
      <c r="AB150" s="154"/>
      <c r="AC150" s="154"/>
    </row>
    <row r="151" spans="3:31">
      <c r="C151" s="150"/>
      <c r="D151" s="193"/>
      <c r="E151" s="154"/>
      <c r="F151" s="154"/>
      <c r="G151" s="154"/>
      <c r="H151" s="154"/>
      <c r="I151" s="154">
        <f>SUM(H144:H150)</f>
        <v>238415278</v>
      </c>
      <c r="P151" s="154" t="e">
        <f ca="1">[3]!terbilang(P150)</f>
        <v>#NAME?</v>
      </c>
      <c r="Q151" s="154" t="e">
        <f ca="1">[3]!terbilang(Q150)</f>
        <v>#NAME?</v>
      </c>
      <c r="R151" s="154" t="e">
        <f ca="1">[3]!terbilang(R150)</f>
        <v>#NAME?</v>
      </c>
      <c r="S151" s="154" t="e">
        <f ca="1">[3]!terbilang(S150)</f>
        <v>#NAME?</v>
      </c>
      <c r="T151" s="154"/>
      <c r="Y151" s="154"/>
      <c r="Z151" s="154"/>
      <c r="AB151" s="154"/>
      <c r="AC151" s="154"/>
      <c r="AD151" s="154"/>
    </row>
    <row r="152" spans="3:31">
      <c r="C152" s="150"/>
      <c r="D152" s="193"/>
      <c r="E152" s="193"/>
      <c r="F152" s="193"/>
      <c r="G152" s="193"/>
      <c r="H152" s="154"/>
      <c r="I152" s="154"/>
      <c r="J152" s="218">
        <f>I143-I151</f>
        <v>62551239</v>
      </c>
      <c r="P152" s="154">
        <v>9295155</v>
      </c>
      <c r="Q152" s="154">
        <v>1723396642</v>
      </c>
      <c r="R152" s="154">
        <v>8279019</v>
      </c>
      <c r="S152" s="154">
        <v>1678000</v>
      </c>
      <c r="T152" s="154"/>
      <c r="Y152" s="154"/>
      <c r="Z152" s="154"/>
      <c r="AA152" s="154"/>
      <c r="AB152" s="154"/>
      <c r="AC152" s="154"/>
      <c r="AD152" s="154" t="s">
        <v>111</v>
      </c>
    </row>
    <row r="153" spans="3:31">
      <c r="C153" s="150"/>
      <c r="D153" s="154"/>
      <c r="E153" s="154"/>
      <c r="F153" s="154"/>
      <c r="G153" s="154"/>
      <c r="H153" s="154"/>
      <c r="I153" s="154"/>
      <c r="P153" s="154" t="e">
        <f ca="1">[3]!terbilang(P152)</f>
        <v>#NAME?</v>
      </c>
      <c r="Q153" s="154" t="e">
        <f ca="1">[3]!terbilang(Q152)</f>
        <v>#NAME?</v>
      </c>
      <c r="R153" s="154" t="e">
        <f ca="1">[3]!terbilang(R152)</f>
        <v>#NAME?</v>
      </c>
      <c r="S153" s="154" t="e">
        <f ca="1">[3]!terbilang(S152)</f>
        <v>#NAME?</v>
      </c>
      <c r="T153" s="154"/>
      <c r="Y153" s="154"/>
      <c r="Z153" s="154"/>
      <c r="AA153" s="154"/>
      <c r="AB153" s="154"/>
      <c r="AC153" s="154"/>
      <c r="AD153" s="154"/>
    </row>
    <row r="154" spans="3:31">
      <c r="C154" s="150"/>
      <c r="D154" s="154"/>
      <c r="E154" s="154"/>
      <c r="F154" s="154"/>
      <c r="G154" s="154"/>
      <c r="H154" s="154"/>
      <c r="I154" s="154"/>
      <c r="P154" s="154"/>
      <c r="Q154" s="154">
        <v>3689932926</v>
      </c>
      <c r="R154" s="154"/>
      <c r="S154" s="154"/>
      <c r="T154" s="154"/>
      <c r="Y154" s="154"/>
      <c r="Z154" s="154"/>
      <c r="AA154" s="154"/>
      <c r="AB154" s="154"/>
      <c r="AC154" s="154"/>
      <c r="AD154" s="154"/>
    </row>
    <row r="155" spans="3:31">
      <c r="C155" s="150"/>
      <c r="D155" s="193"/>
      <c r="E155" s="193"/>
      <c r="F155" s="193"/>
      <c r="G155" s="193"/>
      <c r="H155" s="154"/>
      <c r="I155" s="154"/>
      <c r="P155" s="154">
        <v>4424000</v>
      </c>
      <c r="Q155" s="154">
        <v>4424000</v>
      </c>
      <c r="R155" s="154" t="e">
        <f ca="1">[3]!terbilang(R154)</f>
        <v>#NAME?</v>
      </c>
      <c r="S155" s="154" t="e">
        <f ca="1">[3]!terbilang(S154)</f>
        <v>#NAME?</v>
      </c>
      <c r="T155" s="154"/>
      <c r="Y155" s="154"/>
      <c r="Z155" s="154"/>
      <c r="AA155" s="154"/>
      <c r="AB155" s="154"/>
      <c r="AC155" s="154"/>
      <c r="AD155" s="154"/>
    </row>
    <row r="156" spans="3:31">
      <c r="C156" s="150"/>
      <c r="D156" s="154"/>
      <c r="E156" s="154"/>
      <c r="F156" s="154"/>
      <c r="G156" s="154"/>
      <c r="H156" s="154"/>
      <c r="J156" s="150"/>
      <c r="K156" s="150"/>
      <c r="P156" s="154">
        <v>4424000</v>
      </c>
      <c r="Q156" s="154">
        <v>11751036</v>
      </c>
      <c r="R156" s="154">
        <v>3015600</v>
      </c>
      <c r="S156" s="154">
        <v>600739</v>
      </c>
      <c r="T156" s="154"/>
      <c r="Y156" s="154"/>
      <c r="Z156" s="154"/>
      <c r="AA156" s="154"/>
      <c r="AB156" s="154"/>
      <c r="AC156" s="154"/>
      <c r="AD156" s="154">
        <v>1870843551</v>
      </c>
      <c r="AE156" s="154"/>
    </row>
    <row r="157" spans="3:31">
      <c r="C157" s="150"/>
      <c r="D157" s="193"/>
      <c r="E157" s="193"/>
      <c r="F157" s="193"/>
      <c r="G157" s="193"/>
      <c r="J157" s="150"/>
      <c r="K157" s="150"/>
      <c r="P157" s="154" t="e">
        <f ca="1">[3]!terbilang(P156)</f>
        <v>#NAME?</v>
      </c>
      <c r="Q157" s="154" t="e">
        <f ca="1">[3]!terbilang(Q156)</f>
        <v>#NAME?</v>
      </c>
      <c r="R157" s="154" t="e">
        <f ca="1">[3]!terbilang(R156)</f>
        <v>#NAME?</v>
      </c>
      <c r="S157" s="154" t="e">
        <f ca="1">[3]!terbilang(S156)</f>
        <v>#NAME?</v>
      </c>
      <c r="T157" s="154"/>
      <c r="Y157" s="154"/>
      <c r="Z157" s="154"/>
      <c r="AA157" s="154"/>
      <c r="AB157" s="154"/>
      <c r="AC157" s="154"/>
      <c r="AD157" s="154" t="e">
        <f ca="1">[3]!terbilang(AD156)</f>
        <v>#NAME?</v>
      </c>
      <c r="AE157" s="154"/>
    </row>
    <row r="158" spans="3:31">
      <c r="C158" s="150"/>
      <c r="D158" s="154"/>
      <c r="E158" s="154"/>
      <c r="F158" s="154"/>
      <c r="G158" s="154"/>
      <c r="H158" s="154"/>
      <c r="J158" s="150"/>
      <c r="K158" s="150"/>
      <c r="P158" s="154">
        <v>1030905</v>
      </c>
      <c r="Q158" s="154">
        <v>756000</v>
      </c>
      <c r="R158" s="154">
        <v>42212300</v>
      </c>
      <c r="S158" s="154">
        <v>9467700</v>
      </c>
      <c r="T158" s="154"/>
      <c r="Y158" s="154"/>
      <c r="Z158" s="154"/>
      <c r="AA158" s="154"/>
      <c r="AB158" s="154"/>
      <c r="AC158" s="154"/>
      <c r="AD158" s="154"/>
      <c r="AE158" s="154"/>
    </row>
    <row r="159" spans="3:31">
      <c r="C159" s="150"/>
      <c r="D159" s="193"/>
      <c r="E159" s="193"/>
      <c r="F159" s="193"/>
      <c r="G159" s="193"/>
      <c r="H159" s="193"/>
      <c r="J159" s="150"/>
      <c r="K159" s="150"/>
      <c r="P159" s="154" t="e">
        <f ca="1">[3]!terbilang(P158)</f>
        <v>#NAME?</v>
      </c>
      <c r="Q159" s="154" t="e">
        <f ca="1">[3]!terbilang(Q158)</f>
        <v>#NAME?</v>
      </c>
      <c r="R159" s="154" t="e">
        <f ca="1">[3]!terbilang(R158)</f>
        <v>#NAME?</v>
      </c>
      <c r="S159" s="154" t="e">
        <f ca="1">[3]!terbilang(S158)</f>
        <v>#NAME?</v>
      </c>
      <c r="Y159" s="154"/>
      <c r="Z159" s="154"/>
      <c r="AA159" s="154"/>
      <c r="AB159" s="154"/>
      <c r="AC159" s="154"/>
      <c r="AD159" s="154" t="e">
        <f ca="1">[3]!terbilang(AD158)</f>
        <v>#NAME?</v>
      </c>
      <c r="AE159" s="154"/>
    </row>
    <row r="160" spans="3:31">
      <c r="D160" s="193"/>
      <c r="E160" s="154"/>
      <c r="F160" s="154"/>
      <c r="G160" s="154"/>
      <c r="J160" s="150"/>
      <c r="K160" s="150"/>
      <c r="P160" s="154"/>
      <c r="R160" s="154"/>
      <c r="AD160" s="154"/>
      <c r="AE160" s="154"/>
    </row>
    <row r="161" spans="3:29">
      <c r="D161" s="193"/>
      <c r="E161" s="154"/>
      <c r="F161" s="154"/>
      <c r="G161" s="154"/>
      <c r="J161" s="150"/>
      <c r="K161" s="150"/>
      <c r="P161" s="154"/>
      <c r="R161" s="154"/>
    </row>
    <row r="162" spans="3:29">
      <c r="C162" s="150"/>
      <c r="D162" s="154"/>
      <c r="E162" s="154"/>
      <c r="F162" s="154"/>
      <c r="G162" s="154"/>
      <c r="J162" s="150"/>
      <c r="K162" s="150"/>
      <c r="P162" s="154"/>
      <c r="R162" s="154"/>
      <c r="X162" s="154"/>
      <c r="AA162" s="154"/>
      <c r="AB162" s="154"/>
      <c r="AC162" s="154"/>
    </row>
    <row r="163" spans="3:29">
      <c r="C163" s="150"/>
      <c r="D163" s="150"/>
      <c r="J163" s="150"/>
      <c r="K163" s="150"/>
      <c r="P163" s="154"/>
      <c r="R163" s="154"/>
      <c r="X163" s="154"/>
      <c r="AA163" s="154"/>
      <c r="AB163" s="154"/>
      <c r="AC163" s="154"/>
    </row>
    <row r="164" spans="3:29">
      <c r="C164" s="150"/>
      <c r="D164" s="154"/>
      <c r="E164" s="154"/>
      <c r="F164" s="154"/>
      <c r="G164" s="154"/>
      <c r="P164" s="154"/>
      <c r="X164" s="154"/>
      <c r="AA164" s="154"/>
      <c r="AB164" s="154"/>
      <c r="AC164" s="154"/>
    </row>
    <row r="165" spans="3:29">
      <c r="C165" s="150"/>
      <c r="D165" s="193"/>
      <c r="E165" s="193"/>
      <c r="F165" s="193"/>
      <c r="G165" s="193"/>
      <c r="P165" s="154"/>
      <c r="W165" s="154"/>
      <c r="X165" s="154"/>
      <c r="AA165" s="154"/>
      <c r="AB165" s="154"/>
      <c r="AC165" s="154"/>
    </row>
    <row r="166" spans="3:29">
      <c r="C166" s="150"/>
      <c r="D166" s="150"/>
      <c r="J166" s="150"/>
      <c r="K166" s="150"/>
      <c r="P166" s="154"/>
      <c r="X166" s="154"/>
      <c r="AA166" s="154"/>
      <c r="AB166" s="154"/>
      <c r="AC166" s="154"/>
    </row>
    <row r="167" spans="3:29">
      <c r="C167" s="150"/>
      <c r="D167" s="150"/>
      <c r="J167" s="150"/>
      <c r="K167" s="150"/>
      <c r="P167" s="154"/>
      <c r="X167" s="154"/>
      <c r="AA167" s="154"/>
      <c r="AB167" s="154"/>
      <c r="AC167" s="154"/>
    </row>
    <row r="168" spans="3:29">
      <c r="C168" s="150"/>
      <c r="D168" s="150"/>
      <c r="E168" s="245">
        <f>C168+D168</f>
        <v>0</v>
      </c>
      <c r="F168" s="241">
        <v>151858375</v>
      </c>
      <c r="I168" s="150" t="s">
        <v>111</v>
      </c>
      <c r="J168" s="150"/>
      <c r="K168" s="150"/>
      <c r="P168" s="154"/>
      <c r="X168" s="154"/>
      <c r="AA168" s="154"/>
      <c r="AB168" s="154"/>
      <c r="AC168" s="154"/>
    </row>
    <row r="169" spans="3:29">
      <c r="C169" s="150"/>
      <c r="D169" s="150"/>
      <c r="E169" s="245">
        <f t="shared" ref="E169:E186" si="4">C169+D169</f>
        <v>0</v>
      </c>
      <c r="F169" s="241">
        <v>151858375</v>
      </c>
      <c r="J169" s="150"/>
      <c r="K169" s="150"/>
      <c r="P169" s="154"/>
      <c r="X169" s="154"/>
      <c r="AA169" s="154"/>
      <c r="AB169" s="154"/>
      <c r="AC169" s="154"/>
    </row>
    <row r="170" spans="3:29">
      <c r="C170" s="150"/>
      <c r="D170" s="150"/>
      <c r="E170" s="245">
        <f t="shared" si="4"/>
        <v>0</v>
      </c>
      <c r="F170" s="241">
        <v>15635402</v>
      </c>
      <c r="J170" s="150"/>
      <c r="K170" s="150"/>
      <c r="X170" s="154"/>
      <c r="AA170" s="154"/>
      <c r="AB170" s="154"/>
      <c r="AC170" s="154"/>
    </row>
    <row r="171" spans="3:29">
      <c r="C171" s="150"/>
      <c r="D171" s="150"/>
      <c r="E171" s="245">
        <f t="shared" si="4"/>
        <v>0</v>
      </c>
      <c r="F171" s="241">
        <v>417819202</v>
      </c>
      <c r="J171" s="150"/>
      <c r="K171" s="150"/>
      <c r="X171" s="154"/>
      <c r="AA171" s="154"/>
      <c r="AB171" s="154"/>
      <c r="AC171" s="154"/>
    </row>
    <row r="172" spans="3:29">
      <c r="E172" s="245">
        <f t="shared" si="4"/>
        <v>0</v>
      </c>
      <c r="F172" s="241">
        <v>8266215</v>
      </c>
      <c r="J172" s="150"/>
      <c r="K172" s="150"/>
    </row>
    <row r="173" spans="3:29">
      <c r="E173" s="245">
        <f t="shared" si="4"/>
        <v>0</v>
      </c>
      <c r="F173" s="241">
        <v>8266215</v>
      </c>
      <c r="J173" s="150"/>
      <c r="K173" s="150"/>
    </row>
    <row r="174" spans="3:29">
      <c r="E174" s="245">
        <f t="shared" si="4"/>
        <v>0</v>
      </c>
      <c r="F174" s="242">
        <v>42795328</v>
      </c>
      <c r="J174" s="150"/>
      <c r="K174" s="150"/>
    </row>
    <row r="175" spans="3:29">
      <c r="C175" s="150"/>
      <c r="D175" s="150"/>
      <c r="E175" s="245">
        <f t="shared" si="4"/>
        <v>0</v>
      </c>
      <c r="F175" s="241">
        <v>26265232</v>
      </c>
      <c r="J175" s="150"/>
      <c r="K175" s="150"/>
    </row>
    <row r="176" spans="3:29">
      <c r="C176" s="150"/>
      <c r="D176" s="150"/>
      <c r="E176" s="245">
        <f t="shared" si="4"/>
        <v>0</v>
      </c>
      <c r="F176" s="242">
        <v>26265232</v>
      </c>
      <c r="I176" s="150" t="s">
        <v>112</v>
      </c>
    </row>
    <row r="177" spans="3:11">
      <c r="C177" s="150"/>
      <c r="D177" s="150"/>
      <c r="E177" s="245">
        <f t="shared" si="4"/>
        <v>0</v>
      </c>
      <c r="F177" s="242">
        <v>199624868</v>
      </c>
    </row>
    <row r="178" spans="3:11">
      <c r="C178" s="150"/>
      <c r="D178" s="150"/>
      <c r="E178" s="245">
        <f t="shared" si="4"/>
        <v>0</v>
      </c>
      <c r="F178" s="241">
        <v>19684245</v>
      </c>
    </row>
    <row r="179" spans="3:11">
      <c r="C179" s="150"/>
      <c r="D179" s="150"/>
      <c r="E179" s="245">
        <f t="shared" si="4"/>
        <v>0</v>
      </c>
      <c r="F179" s="241">
        <v>77905425</v>
      </c>
      <c r="J179" s="150"/>
      <c r="K179" s="150"/>
    </row>
    <row r="180" spans="3:11">
      <c r="C180" s="150"/>
      <c r="D180" s="150"/>
      <c r="E180" s="245">
        <f t="shared" si="4"/>
        <v>0</v>
      </c>
      <c r="F180" s="241">
        <v>4441476</v>
      </c>
      <c r="J180" s="150"/>
      <c r="K180" s="150"/>
    </row>
    <row r="181" spans="3:11">
      <c r="C181" s="150"/>
      <c r="D181" s="150"/>
      <c r="E181" s="245">
        <f t="shared" si="4"/>
        <v>0</v>
      </c>
      <c r="F181" s="241">
        <v>4266433</v>
      </c>
      <c r="J181" s="150"/>
      <c r="K181" s="150"/>
    </row>
    <row r="182" spans="3:11">
      <c r="C182" s="150"/>
      <c r="D182" s="150"/>
      <c r="E182" s="245">
        <f t="shared" si="4"/>
        <v>0</v>
      </c>
      <c r="F182" s="241">
        <v>852429</v>
      </c>
      <c r="J182" s="150"/>
      <c r="K182" s="150"/>
    </row>
    <row r="183" spans="3:11">
      <c r="C183" s="150"/>
      <c r="D183" s="150"/>
      <c r="E183" s="245">
        <f t="shared" si="4"/>
        <v>0</v>
      </c>
      <c r="F183" s="241">
        <v>852429</v>
      </c>
      <c r="H183" s="154"/>
      <c r="J183" s="150"/>
      <c r="K183" s="150"/>
    </row>
    <row r="184" spans="3:11">
      <c r="C184" s="150"/>
      <c r="D184" s="150"/>
      <c r="E184" s="245">
        <f t="shared" si="4"/>
        <v>0</v>
      </c>
      <c r="F184" s="242">
        <v>112121856</v>
      </c>
      <c r="H184" s="154"/>
      <c r="J184" s="150"/>
      <c r="K184" s="150"/>
    </row>
    <row r="185" spans="3:11">
      <c r="C185" s="150"/>
      <c r="D185" s="150"/>
      <c r="E185" s="245">
        <f t="shared" si="4"/>
        <v>0</v>
      </c>
      <c r="F185" s="241">
        <v>95897725</v>
      </c>
      <c r="H185" s="154"/>
      <c r="J185" s="150"/>
      <c r="K185" s="150"/>
    </row>
    <row r="186" spans="3:11">
      <c r="C186" s="150"/>
      <c r="D186" s="150"/>
      <c r="E186" s="245">
        <f t="shared" si="4"/>
        <v>0</v>
      </c>
      <c r="F186" s="242">
        <v>611033945</v>
      </c>
      <c r="H186" s="154"/>
      <c r="J186" s="150"/>
      <c r="K186" s="150"/>
    </row>
    <row r="187" spans="3:11">
      <c r="C187" s="150"/>
      <c r="D187" s="150"/>
      <c r="F187" s="243"/>
      <c r="H187" s="154"/>
      <c r="J187" s="150"/>
      <c r="K187" s="150"/>
    </row>
    <row r="188" spans="3:11">
      <c r="H188" s="193" t="e">
        <f ca="1">[3]!terbilang(H187)</f>
        <v>#NAME?</v>
      </c>
      <c r="J188" s="150"/>
      <c r="K188" s="150"/>
    </row>
    <row r="189" spans="3:11">
      <c r="D189" s="193">
        <v>97846397</v>
      </c>
      <c r="E189" s="154">
        <v>2865371212</v>
      </c>
      <c r="F189" s="154">
        <v>89668307</v>
      </c>
      <c r="G189" s="154">
        <v>140646841</v>
      </c>
      <c r="H189" s="154"/>
      <c r="J189" s="150"/>
      <c r="K189" s="150"/>
    </row>
    <row r="190" spans="3:11">
      <c r="D190" s="193"/>
      <c r="E190" s="154"/>
      <c r="F190" s="154"/>
      <c r="G190" s="154"/>
      <c r="H190" s="154"/>
      <c r="J190" s="150"/>
      <c r="K190" s="150"/>
    </row>
    <row r="191" spans="3:11">
      <c r="D191" s="182" t="e">
        <f ca="1">[3]!terbilang(D189)</f>
        <v>#NAME?</v>
      </c>
      <c r="E191" s="193" t="e">
        <f ca="1">[3]!terbilang(E189)</f>
        <v>#NAME?</v>
      </c>
      <c r="F191" s="193" t="e">
        <f ca="1">[3]!terbilang(F189)</f>
        <v>#NAME?</v>
      </c>
      <c r="G191" s="193" t="e">
        <f ca="1">[3]!terbilang(G189)</f>
        <v>#NAME?</v>
      </c>
      <c r="H191" s="154"/>
      <c r="J191" s="150"/>
      <c r="K191" s="150"/>
    </row>
    <row r="192" spans="3:11">
      <c r="C192" s="150"/>
      <c r="D192" s="193"/>
      <c r="E192" s="154"/>
      <c r="F192" s="154"/>
      <c r="G192" s="154"/>
      <c r="H192" s="154"/>
      <c r="J192" s="150"/>
      <c r="K192" s="150"/>
    </row>
    <row r="193" spans="3:11">
      <c r="C193" s="150"/>
      <c r="D193" s="193">
        <v>14952300</v>
      </c>
      <c r="E193" s="154">
        <v>25686590</v>
      </c>
      <c r="F193" s="154">
        <v>12165006</v>
      </c>
      <c r="G193" s="154">
        <v>33728185</v>
      </c>
      <c r="H193" s="154"/>
      <c r="J193" s="150"/>
      <c r="K193" s="150"/>
    </row>
    <row r="194" spans="3:11">
      <c r="C194" s="150"/>
      <c r="D194" s="193" t="e">
        <f ca="1">[3]!terbilang(D193)</f>
        <v>#NAME?</v>
      </c>
      <c r="E194" s="193" t="e">
        <f ca="1">[3]!terbilang(E193)</f>
        <v>#NAME?</v>
      </c>
      <c r="F194" s="193" t="e">
        <f ca="1">[3]!terbilang(F193)</f>
        <v>#NAME?</v>
      </c>
      <c r="G194" s="193" t="e">
        <f ca="1">[3]!terbilang(G193)</f>
        <v>#NAME?</v>
      </c>
      <c r="H194" s="154"/>
      <c r="J194" s="150"/>
      <c r="K194" s="150"/>
    </row>
    <row r="195" spans="3:11">
      <c r="C195" s="150"/>
      <c r="D195" s="193"/>
      <c r="E195" s="193"/>
      <c r="F195" s="193"/>
      <c r="G195" s="193"/>
      <c r="H195" s="193" t="e">
        <f ca="1">[3]!terbilang(H193)</f>
        <v>#NAME?</v>
      </c>
      <c r="J195" s="150"/>
      <c r="K195" s="150"/>
    </row>
    <row r="196" spans="3:11">
      <c r="C196" s="150"/>
      <c r="D196" s="193">
        <v>48422213</v>
      </c>
      <c r="E196" s="154">
        <v>36753941</v>
      </c>
      <c r="F196" s="154">
        <v>31079686</v>
      </c>
      <c r="G196" s="154">
        <v>20004300</v>
      </c>
      <c r="H196" s="154"/>
      <c r="J196" s="150"/>
      <c r="K196" s="150"/>
    </row>
    <row r="197" spans="3:11">
      <c r="C197" s="150"/>
      <c r="D197" s="193"/>
      <c r="E197" s="154"/>
      <c r="F197" s="154"/>
      <c r="G197" s="154"/>
      <c r="H197" s="154"/>
      <c r="J197" s="150"/>
      <c r="K197" s="150"/>
    </row>
    <row r="198" spans="3:11">
      <c r="C198" s="150"/>
      <c r="D198" s="193" t="e">
        <f ca="1">[3]!terbilang(D196)</f>
        <v>#NAME?</v>
      </c>
      <c r="E198" s="193" t="e">
        <f ca="1">[3]!terbilang(E196)</f>
        <v>#NAME?</v>
      </c>
      <c r="F198" s="193" t="e">
        <f ca="1">[3]!terbilang(F196)</f>
        <v>#NAME?</v>
      </c>
      <c r="G198" s="193" t="e">
        <f ca="1">[3]!terbilang(G196)</f>
        <v>#NAME?</v>
      </c>
      <c r="H198" s="154"/>
      <c r="J198" s="150"/>
      <c r="K198" s="150"/>
    </row>
    <row r="199" spans="3:11">
      <c r="C199" s="150"/>
      <c r="D199" s="193">
        <v>59307925</v>
      </c>
      <c r="E199" s="154">
        <v>91714882</v>
      </c>
      <c r="F199" s="154">
        <v>50376375</v>
      </c>
      <c r="G199" s="154">
        <v>48653224</v>
      </c>
      <c r="H199" s="154"/>
      <c r="J199" s="150"/>
      <c r="K199" s="150"/>
    </row>
    <row r="200" spans="3:11">
      <c r="C200" s="150"/>
      <c r="D200" s="193"/>
      <c r="E200" s="154"/>
      <c r="F200" s="154"/>
      <c r="G200" s="154"/>
      <c r="H200" s="154"/>
      <c r="J200" s="150"/>
      <c r="K200" s="150"/>
    </row>
    <row r="201" spans="3:11">
      <c r="C201" s="150"/>
      <c r="D201" s="193" t="e">
        <f ca="1">[3]!terbilang(D199)</f>
        <v>#NAME?</v>
      </c>
      <c r="E201" s="193" t="e">
        <f ca="1">[3]!terbilang(E199)</f>
        <v>#NAME?</v>
      </c>
      <c r="F201" s="193" t="e">
        <f ca="1">[3]!terbilang(F199)</f>
        <v>#NAME?</v>
      </c>
      <c r="G201" s="193" t="e">
        <f ca="1">[3]!terbilang(G199)</f>
        <v>#NAME?</v>
      </c>
      <c r="J201" s="150"/>
      <c r="K201" s="150"/>
    </row>
    <row r="202" spans="3:11">
      <c r="C202" s="150"/>
      <c r="D202" s="193"/>
      <c r="E202" s="154"/>
      <c r="F202" s="154"/>
      <c r="G202" s="154"/>
      <c r="J202" s="150"/>
      <c r="K202" s="150"/>
    </row>
    <row r="203" spans="3:11">
      <c r="C203" s="150"/>
      <c r="D203" s="193"/>
      <c r="E203" s="154"/>
      <c r="F203" s="154"/>
      <c r="G203" s="154"/>
      <c r="J203" s="150"/>
      <c r="K203" s="150"/>
    </row>
    <row r="204" spans="3:11">
      <c r="C204" s="150"/>
      <c r="D204" s="193"/>
      <c r="E204" s="154"/>
      <c r="F204" s="154"/>
      <c r="G204" s="154"/>
      <c r="J204" s="150"/>
      <c r="K204" s="150"/>
    </row>
    <row r="205" spans="3:11">
      <c r="C205" s="150"/>
      <c r="D205" s="193"/>
      <c r="E205" s="154"/>
      <c r="F205" s="154"/>
      <c r="G205" s="154"/>
      <c r="J205" s="150"/>
      <c r="K205" s="150"/>
    </row>
    <row r="206" spans="3:11">
      <c r="C206" s="150"/>
      <c r="D206" s="193"/>
      <c r="E206" s="154" t="s">
        <v>108</v>
      </c>
      <c r="F206" s="154"/>
      <c r="G206" s="154"/>
      <c r="J206" s="150"/>
      <c r="K206" s="150"/>
    </row>
    <row r="208" spans="3:11">
      <c r="C208" s="150"/>
      <c r="D208" s="182" t="s">
        <v>112</v>
      </c>
      <c r="J208" s="150"/>
      <c r="K208" s="150"/>
    </row>
    <row r="209" spans="3:11">
      <c r="C209" s="150"/>
      <c r="E209" s="150" t="s">
        <v>111</v>
      </c>
      <c r="J209" s="150"/>
      <c r="K209" s="150"/>
    </row>
  </sheetData>
  <mergeCells count="16">
    <mergeCell ref="C4:AG4"/>
    <mergeCell ref="A105:B105"/>
    <mergeCell ref="AD112:AF112"/>
    <mergeCell ref="F114:G114"/>
    <mergeCell ref="H114:I114"/>
    <mergeCell ref="J114:K114"/>
    <mergeCell ref="L114:M114"/>
    <mergeCell ref="R114:T114"/>
    <mergeCell ref="L133:N133"/>
    <mergeCell ref="P133:R133"/>
    <mergeCell ref="F115:G115"/>
    <mergeCell ref="H115:I115"/>
    <mergeCell ref="J115:K115"/>
    <mergeCell ref="L115:M115"/>
    <mergeCell ref="R115:T115"/>
    <mergeCell ref="S133:U133"/>
  </mergeCells>
  <pageMargins left="0.7" right="0.7" top="0.75" bottom="0.75" header="0.3" footer="0.3"/>
  <pageSetup paperSize="9"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10"/>
  <sheetViews>
    <sheetView topLeftCell="P1" zoomScale="70" zoomScaleNormal="70" workbookViewId="0">
      <selection activeCell="T28" sqref="T28"/>
    </sheetView>
  </sheetViews>
  <sheetFormatPr defaultRowHeight="15.75"/>
  <cols>
    <col min="1" max="1" width="45" style="150" customWidth="1"/>
    <col min="2" max="2" width="19" style="150" customWidth="1"/>
    <col min="3" max="3" width="19.85546875" style="182" customWidth="1"/>
    <col min="4" max="4" width="18.7109375" style="182" customWidth="1"/>
    <col min="5" max="5" width="21.28515625" style="150" customWidth="1"/>
    <col min="6" max="6" width="22.5703125" style="150" customWidth="1"/>
    <col min="7" max="7" width="18.42578125" style="150" customWidth="1"/>
    <col min="8" max="8" width="22.140625" style="150" customWidth="1"/>
    <col min="9" max="9" width="21.42578125" style="150" customWidth="1"/>
    <col min="10" max="10" width="22.140625" style="182" customWidth="1"/>
    <col min="11" max="11" width="21" style="182" customWidth="1"/>
    <col min="12" max="12" width="24.140625" style="150" customWidth="1"/>
    <col min="13" max="13" width="27.28515625" style="150" customWidth="1"/>
    <col min="14" max="14" width="19.42578125" style="150" customWidth="1"/>
    <col min="15" max="15" width="18.28515625" style="150" customWidth="1"/>
    <col min="16" max="16" width="19.85546875" style="150" customWidth="1"/>
    <col min="17" max="17" width="24.5703125" style="150" customWidth="1"/>
    <col min="18" max="18" width="20.140625" style="150" customWidth="1"/>
    <col min="19" max="19" width="23.28515625" style="150" customWidth="1"/>
    <col min="20" max="20" width="26.42578125" style="150" customWidth="1"/>
    <col min="21" max="21" width="19.5703125" style="150" customWidth="1"/>
    <col min="22" max="22" width="19.42578125" style="150" customWidth="1"/>
    <col min="23" max="23" width="23" style="150" customWidth="1"/>
    <col min="24" max="25" width="20.7109375" style="150" customWidth="1"/>
    <col min="26" max="26" width="22.42578125" style="150" customWidth="1"/>
    <col min="27" max="27" width="21.7109375" style="150" customWidth="1"/>
    <col min="28" max="28" width="20.28515625" style="150" customWidth="1"/>
    <col min="29" max="29" width="18.5703125" style="150" customWidth="1"/>
    <col min="30" max="30" width="26.42578125" style="150" customWidth="1"/>
    <col min="31" max="31" width="26.140625" style="150" customWidth="1"/>
    <col min="32" max="32" width="19" style="150" customWidth="1"/>
    <col min="33" max="34" width="21.7109375" style="150" customWidth="1"/>
    <col min="35" max="35" width="20.28515625" style="150" customWidth="1"/>
    <col min="36" max="36" width="18.140625" style="150" customWidth="1"/>
    <col min="37" max="37" width="12.85546875" style="150" customWidth="1"/>
    <col min="38" max="38" width="19.140625" style="150" customWidth="1"/>
    <col min="39" max="16384" width="9.140625" style="150"/>
  </cols>
  <sheetData>
    <row r="1" spans="1:36">
      <c r="A1" s="147" t="s">
        <v>0</v>
      </c>
      <c r="B1" s="148"/>
      <c r="C1" s="149"/>
      <c r="D1" s="149"/>
      <c r="E1" s="148"/>
      <c r="F1" s="148"/>
      <c r="G1" s="148"/>
      <c r="H1" s="148"/>
      <c r="I1" s="148"/>
      <c r="J1" s="149"/>
      <c r="K1" s="149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</row>
    <row r="2" spans="1:36" s="154" customFormat="1">
      <c r="A2" s="151" t="s">
        <v>1</v>
      </c>
      <c r="B2" s="152"/>
      <c r="C2" s="153"/>
      <c r="D2" s="153"/>
      <c r="E2" s="152"/>
      <c r="F2" s="152"/>
      <c r="G2" s="152"/>
      <c r="H2" s="152"/>
      <c r="I2" s="152"/>
      <c r="J2" s="153"/>
      <c r="K2" s="153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</row>
    <row r="3" spans="1:36">
      <c r="A3" s="155" t="s">
        <v>2</v>
      </c>
      <c r="B3" s="156">
        <v>44652</v>
      </c>
      <c r="C3" s="153"/>
      <c r="D3" s="153"/>
      <c r="E3" s="152"/>
      <c r="F3" s="152"/>
      <c r="G3" s="152"/>
      <c r="H3" s="152"/>
      <c r="I3" s="152"/>
      <c r="J3" s="153"/>
      <c r="K3" s="153"/>
      <c r="L3" s="152"/>
      <c r="M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</row>
    <row r="4" spans="1:36">
      <c r="A4" s="157" t="s">
        <v>3</v>
      </c>
      <c r="B4" s="158" t="s">
        <v>4</v>
      </c>
      <c r="C4" s="390" t="s">
        <v>5</v>
      </c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2"/>
      <c r="AH4" s="315"/>
      <c r="AI4" s="159" t="s">
        <v>6</v>
      </c>
      <c r="AJ4" s="154"/>
    </row>
    <row r="5" spans="1:36">
      <c r="A5" s="157"/>
      <c r="B5" s="158"/>
      <c r="C5" s="160">
        <v>44690</v>
      </c>
      <c r="D5" s="160">
        <v>44691</v>
      </c>
      <c r="E5" s="160">
        <v>44692</v>
      </c>
      <c r="F5" s="160">
        <v>44693</v>
      </c>
      <c r="G5" s="160">
        <v>44694</v>
      </c>
      <c r="H5" s="160">
        <v>44695</v>
      </c>
      <c r="I5" s="160">
        <v>44696</v>
      </c>
      <c r="J5" s="160">
        <v>44697</v>
      </c>
      <c r="K5" s="160">
        <v>44698</v>
      </c>
      <c r="L5" s="160">
        <v>44699</v>
      </c>
      <c r="M5" s="160">
        <v>44700</v>
      </c>
      <c r="N5" s="160">
        <v>44701</v>
      </c>
      <c r="O5" s="160">
        <v>44702</v>
      </c>
      <c r="P5" s="160">
        <v>44703</v>
      </c>
      <c r="Q5" s="160">
        <v>44704</v>
      </c>
      <c r="R5" s="160">
        <v>44705</v>
      </c>
      <c r="S5" s="160">
        <v>44706</v>
      </c>
      <c r="T5" s="160">
        <v>44707</v>
      </c>
      <c r="U5" s="160">
        <v>44708</v>
      </c>
      <c r="V5" s="160">
        <v>44709</v>
      </c>
      <c r="W5" s="160">
        <v>44710</v>
      </c>
      <c r="X5" s="160">
        <v>44711</v>
      </c>
      <c r="Y5" s="160">
        <v>44712</v>
      </c>
      <c r="Z5" s="160">
        <v>44713</v>
      </c>
      <c r="AA5" s="160">
        <v>44714</v>
      </c>
      <c r="AB5" s="160">
        <v>44715</v>
      </c>
      <c r="AC5" s="160">
        <v>44716</v>
      </c>
      <c r="AD5" s="160">
        <v>44717</v>
      </c>
      <c r="AE5" s="160">
        <v>44718</v>
      </c>
      <c r="AF5" s="160">
        <v>44719</v>
      </c>
      <c r="AG5" s="160">
        <v>44720</v>
      </c>
      <c r="AH5" s="160"/>
      <c r="AI5" s="159"/>
      <c r="AJ5" s="154"/>
    </row>
    <row r="6" spans="1:36">
      <c r="A6" s="161" t="s">
        <v>7</v>
      </c>
      <c r="B6" s="162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8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3"/>
      <c r="AJ6" s="173"/>
    </row>
    <row r="7" spans="1:36">
      <c r="A7" s="258" t="s">
        <v>577</v>
      </c>
      <c r="B7" s="162"/>
      <c r="C7" s="273"/>
      <c r="D7" s="167"/>
      <c r="E7" s="167"/>
      <c r="F7" s="167"/>
      <c r="G7" s="167"/>
      <c r="H7" s="167"/>
      <c r="I7" s="167"/>
      <c r="J7" s="167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167"/>
      <c r="AA7" s="167"/>
      <c r="AB7" s="281"/>
      <c r="AC7" s="273"/>
      <c r="AD7" s="281"/>
      <c r="AE7" s="281">
        <v>1500000000</v>
      </c>
      <c r="AF7" s="281"/>
      <c r="AG7" s="273"/>
      <c r="AH7" s="273"/>
      <c r="AI7" s="163"/>
      <c r="AJ7" s="173"/>
    </row>
    <row r="8" spans="1:36">
      <c r="A8" s="258" t="s">
        <v>492</v>
      </c>
      <c r="B8" s="162"/>
      <c r="C8" s="273"/>
      <c r="D8" s="273"/>
      <c r="E8" s="273"/>
      <c r="F8" s="273">
        <f>435792178+265878143</f>
        <v>701670321</v>
      </c>
      <c r="G8" s="273"/>
      <c r="H8" s="273"/>
      <c r="I8" s="273"/>
      <c r="J8" s="273"/>
      <c r="K8" s="273">
        <v>211869674</v>
      </c>
      <c r="L8" s="273"/>
      <c r="M8" s="273"/>
      <c r="N8" s="273"/>
      <c r="O8" s="273"/>
      <c r="P8" s="168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163"/>
      <c r="AJ8" s="173"/>
    </row>
    <row r="9" spans="1:36">
      <c r="A9" s="166" t="s">
        <v>356</v>
      </c>
      <c r="B9" s="191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5"/>
      <c r="AJ9" s="154"/>
    </row>
    <row r="10" spans="1:36">
      <c r="A10" s="166" t="s">
        <v>480</v>
      </c>
      <c r="B10" s="191"/>
      <c r="C10" s="273"/>
      <c r="D10" s="273"/>
      <c r="E10" s="273"/>
      <c r="F10" s="273">
        <v>245568935</v>
      </c>
      <c r="G10" s="273"/>
      <c r="H10" s="273"/>
      <c r="I10" s="171"/>
      <c r="J10" s="171"/>
      <c r="K10" s="273">
        <v>153707962</v>
      </c>
      <c r="L10" s="171"/>
      <c r="M10" s="171"/>
      <c r="N10" s="171"/>
      <c r="O10" s="171"/>
      <c r="P10" s="171"/>
      <c r="Q10" s="171"/>
      <c r="R10" s="171"/>
      <c r="S10" s="171"/>
      <c r="T10" s="273"/>
      <c r="U10" s="171"/>
      <c r="V10" s="273"/>
      <c r="W10" s="273"/>
      <c r="X10" s="171"/>
      <c r="Y10" s="171"/>
      <c r="Z10" s="273"/>
      <c r="AA10" s="273"/>
      <c r="AB10" s="171"/>
      <c r="AC10" s="273"/>
      <c r="AD10" s="273"/>
      <c r="AE10" s="171"/>
      <c r="AF10" s="273"/>
      <c r="AG10" s="273"/>
      <c r="AH10" s="273"/>
      <c r="AI10" s="165"/>
      <c r="AJ10" s="173"/>
    </row>
    <row r="11" spans="1:36">
      <c r="A11" s="166" t="s">
        <v>617</v>
      </c>
      <c r="B11" s="191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273"/>
      <c r="AD11" s="175"/>
      <c r="AE11" s="175">
        <v>363128887</v>
      </c>
      <c r="AF11" s="273"/>
      <c r="AG11" s="273"/>
      <c r="AH11" s="273"/>
      <c r="AI11" s="165"/>
      <c r="AJ11" s="173"/>
    </row>
    <row r="12" spans="1:36">
      <c r="A12" s="166" t="s">
        <v>541</v>
      </c>
      <c r="B12" s="191"/>
      <c r="C12" s="171"/>
      <c r="D12" s="171"/>
      <c r="E12" s="171"/>
      <c r="F12" s="171"/>
      <c r="G12" s="171"/>
      <c r="H12" s="273"/>
      <c r="I12" s="273"/>
      <c r="J12" s="273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>
        <v>190406737</v>
      </c>
      <c r="Z12" s="171"/>
      <c r="AA12" s="171"/>
      <c r="AB12" s="171"/>
      <c r="AC12" s="273"/>
      <c r="AD12" s="171"/>
      <c r="AE12" s="171"/>
      <c r="AF12" s="273"/>
      <c r="AG12" s="273"/>
      <c r="AH12" s="273"/>
      <c r="AI12" s="165"/>
      <c r="AJ12" s="173"/>
    </row>
    <row r="13" spans="1:36">
      <c r="A13" s="166" t="s">
        <v>366</v>
      </c>
      <c r="B13" s="191"/>
      <c r="C13" s="171"/>
      <c r="D13" s="171"/>
      <c r="E13" s="171"/>
      <c r="F13" s="171"/>
      <c r="G13" s="171"/>
      <c r="H13" s="273"/>
      <c r="I13" s="273"/>
      <c r="J13" s="273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273"/>
      <c r="AD13" s="171"/>
      <c r="AE13" s="171"/>
      <c r="AF13" s="273"/>
      <c r="AG13" s="273"/>
      <c r="AH13" s="273"/>
      <c r="AI13" s="165"/>
      <c r="AJ13" s="173"/>
    </row>
    <row r="14" spans="1:36">
      <c r="A14" s="166" t="s">
        <v>10</v>
      </c>
      <c r="B14" s="191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171"/>
      <c r="P14" s="171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175"/>
      <c r="AC14" s="273"/>
      <c r="AD14" s="273"/>
      <c r="AE14" s="175">
        <v>21000000</v>
      </c>
      <c r="AF14" s="273"/>
      <c r="AG14" s="273"/>
      <c r="AH14" s="273"/>
      <c r="AI14" s="165"/>
      <c r="AJ14" s="173"/>
    </row>
    <row r="15" spans="1:36">
      <c r="A15" s="166" t="s">
        <v>205</v>
      </c>
      <c r="B15" s="191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1"/>
      <c r="AD15" s="175"/>
      <c r="AE15" s="175">
        <v>14000000</v>
      </c>
      <c r="AF15" s="171"/>
      <c r="AG15" s="171"/>
      <c r="AH15" s="274"/>
      <c r="AI15" s="165"/>
      <c r="AJ15" s="234"/>
    </row>
    <row r="16" spans="1:36">
      <c r="A16" s="166" t="s">
        <v>206</v>
      </c>
      <c r="B16" s="191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280"/>
      <c r="AC16" s="171"/>
      <c r="AD16" s="175"/>
      <c r="AE16" s="280">
        <v>500000000</v>
      </c>
      <c r="AF16" s="171"/>
      <c r="AG16" s="171"/>
      <c r="AH16" s="274"/>
      <c r="AI16" s="165"/>
      <c r="AJ16" s="234">
        <f>SUM(AI15:AI16)</f>
        <v>0</v>
      </c>
    </row>
    <row r="17" spans="1:36">
      <c r="A17" s="166" t="s">
        <v>578</v>
      </c>
      <c r="B17" s="191"/>
      <c r="C17" s="175"/>
      <c r="D17" s="175"/>
      <c r="E17" s="175"/>
      <c r="F17" s="175"/>
      <c r="G17" s="175"/>
      <c r="H17" s="175"/>
      <c r="I17" s="175"/>
      <c r="J17" s="175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175"/>
      <c r="AA17" s="175"/>
      <c r="AB17" s="280"/>
      <c r="AC17" s="171"/>
      <c r="AD17" s="280"/>
      <c r="AE17" s="280"/>
      <c r="AF17" s="280"/>
      <c r="AG17" s="171"/>
      <c r="AH17" s="171"/>
      <c r="AI17" s="165"/>
      <c r="AJ17" s="234"/>
    </row>
    <row r="18" spans="1:36">
      <c r="A18" s="166" t="s">
        <v>579</v>
      </c>
      <c r="B18" s="191"/>
      <c r="C18" s="175"/>
      <c r="D18" s="175"/>
      <c r="E18" s="175"/>
      <c r="F18" s="175"/>
      <c r="G18" s="175"/>
      <c r="H18" s="171"/>
      <c r="I18" s="171"/>
      <c r="J18" s="171"/>
      <c r="K18" s="175"/>
      <c r="L18" s="175"/>
      <c r="M18" s="175"/>
      <c r="N18" s="175"/>
      <c r="O18" s="171"/>
      <c r="P18" s="171"/>
      <c r="Q18" s="175"/>
      <c r="R18" s="171"/>
      <c r="S18" s="171"/>
      <c r="T18" s="171"/>
      <c r="U18" s="171"/>
      <c r="V18" s="171"/>
      <c r="W18" s="175"/>
      <c r="X18" s="175"/>
      <c r="Y18" s="175"/>
      <c r="Z18" s="175"/>
      <c r="AA18" s="171"/>
      <c r="AB18" s="175"/>
      <c r="AC18" s="171"/>
      <c r="AD18" s="175"/>
      <c r="AE18" s="175"/>
      <c r="AF18" s="171"/>
      <c r="AG18" s="171"/>
      <c r="AH18" s="171"/>
      <c r="AI18" s="165"/>
      <c r="AJ18" s="234"/>
    </row>
    <row r="19" spans="1:36">
      <c r="A19" s="166" t="s">
        <v>261</v>
      </c>
      <c r="B19" s="19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65"/>
      <c r="AJ19" s="234"/>
    </row>
    <row r="20" spans="1:36">
      <c r="A20" s="166" t="s">
        <v>638</v>
      </c>
      <c r="B20" s="191"/>
      <c r="C20" s="175"/>
      <c r="D20" s="175"/>
      <c r="E20" s="175"/>
      <c r="F20" s="175"/>
      <c r="G20" s="175"/>
      <c r="H20" s="171"/>
      <c r="I20" s="175"/>
      <c r="J20" s="175"/>
      <c r="K20" s="175"/>
      <c r="L20" s="175"/>
      <c r="M20" s="175"/>
      <c r="N20" s="175"/>
      <c r="O20" s="171"/>
      <c r="P20" s="175"/>
      <c r="Q20" s="172">
        <v>291474261</v>
      </c>
      <c r="R20" s="172"/>
      <c r="S20" s="172"/>
      <c r="T20" s="171"/>
      <c r="U20" s="171"/>
      <c r="V20" s="171"/>
      <c r="W20" s="175"/>
      <c r="X20" s="175"/>
      <c r="Y20" s="175"/>
      <c r="Z20" s="171"/>
      <c r="AA20" s="175"/>
      <c r="AB20" s="175"/>
      <c r="AC20" s="171"/>
      <c r="AD20" s="175"/>
      <c r="AE20" s="175"/>
      <c r="AF20" s="171"/>
      <c r="AG20" s="171"/>
      <c r="AH20" s="169"/>
      <c r="AI20" s="165"/>
      <c r="AJ20" s="234"/>
    </row>
    <row r="21" spans="1:36">
      <c r="A21" s="166" t="s">
        <v>17</v>
      </c>
      <c r="B21" s="19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2"/>
      <c r="S21" s="172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65"/>
      <c r="AJ21" s="234"/>
    </row>
    <row r="22" spans="1:36">
      <c r="A22" s="166" t="s">
        <v>18</v>
      </c>
      <c r="B22" s="191"/>
      <c r="C22" s="273"/>
      <c r="D22" s="273"/>
      <c r="E22" s="273"/>
      <c r="F22" s="273"/>
      <c r="G22" s="273"/>
      <c r="H22" s="171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165"/>
      <c r="AJ22" s="233"/>
    </row>
    <row r="23" spans="1:36">
      <c r="A23" s="166" t="s">
        <v>19</v>
      </c>
      <c r="B23" s="191"/>
      <c r="C23" s="273"/>
      <c r="D23" s="273"/>
      <c r="E23" s="273"/>
      <c r="F23" s="273"/>
      <c r="G23" s="273"/>
      <c r="H23" s="171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165"/>
      <c r="AJ23" s="233"/>
    </row>
    <row r="24" spans="1:36">
      <c r="A24" s="166" t="s">
        <v>530</v>
      </c>
      <c r="B24" s="191"/>
      <c r="C24" s="273"/>
      <c r="D24" s="273"/>
      <c r="E24" s="273"/>
      <c r="F24" s="171"/>
      <c r="G24" s="171"/>
      <c r="H24" s="171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>
        <f>34122207-28317666</f>
        <v>5804541</v>
      </c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5"/>
      <c r="AI24" s="165"/>
      <c r="AJ24" s="233"/>
    </row>
    <row r="25" spans="1:36">
      <c r="A25" s="166" t="s">
        <v>43</v>
      </c>
      <c r="B25" s="191"/>
      <c r="C25" s="273"/>
      <c r="D25" s="273"/>
      <c r="E25" s="273"/>
      <c r="F25" s="171"/>
      <c r="G25" s="171"/>
      <c r="H25" s="171"/>
      <c r="I25" s="171"/>
      <c r="J25" s="273"/>
      <c r="K25" s="273"/>
      <c r="L25" s="171"/>
      <c r="M25" s="171"/>
      <c r="N25" s="273"/>
      <c r="O25" s="273"/>
      <c r="P25" s="171"/>
      <c r="Q25" s="273"/>
      <c r="R25" s="170"/>
      <c r="S25" s="170"/>
      <c r="T25" s="273"/>
      <c r="U25" s="171"/>
      <c r="V25" s="171"/>
      <c r="W25" s="273"/>
      <c r="X25" s="273">
        <v>36876264</v>
      </c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  <c r="AI25" s="165"/>
      <c r="AJ25" s="233"/>
    </row>
    <row r="26" spans="1:36">
      <c r="A26" s="166" t="s">
        <v>318</v>
      </c>
      <c r="B26" s="191"/>
      <c r="C26" s="170"/>
      <c r="D26" s="170"/>
      <c r="E26" s="171">
        <f>141531601-29876208</f>
        <v>111655393</v>
      </c>
      <c r="F26" s="171"/>
      <c r="G26" s="171"/>
      <c r="H26" s="171"/>
      <c r="I26" s="171"/>
      <c r="J26" s="170"/>
      <c r="K26" s="171"/>
      <c r="L26" s="171"/>
      <c r="M26" s="171"/>
      <c r="N26" s="171"/>
      <c r="O26" s="273"/>
      <c r="P26" s="171"/>
      <c r="Q26" s="170"/>
      <c r="R26" s="273"/>
      <c r="S26" s="273"/>
      <c r="T26" s="171"/>
      <c r="U26" s="171"/>
      <c r="V26" s="171"/>
      <c r="W26" s="170"/>
      <c r="X26" s="170"/>
      <c r="Y26" s="170"/>
      <c r="Z26" s="171"/>
      <c r="AA26" s="170"/>
      <c r="AB26" s="170"/>
      <c r="AC26" s="170"/>
      <c r="AD26" s="170"/>
      <c r="AE26" s="170"/>
      <c r="AF26" s="170"/>
      <c r="AG26" s="170"/>
      <c r="AH26" s="170"/>
      <c r="AI26" s="165"/>
      <c r="AJ26" s="233"/>
    </row>
    <row r="27" spans="1:36">
      <c r="A27" s="166" t="s">
        <v>447</v>
      </c>
      <c r="B27" s="191"/>
      <c r="C27" s="170"/>
      <c r="D27" s="170"/>
      <c r="E27" s="170"/>
      <c r="F27" s="171"/>
      <c r="G27" s="171"/>
      <c r="H27" s="171"/>
      <c r="I27" s="171"/>
      <c r="J27" s="170"/>
      <c r="K27" s="170"/>
      <c r="L27" s="171"/>
      <c r="M27" s="171"/>
      <c r="N27" s="170"/>
      <c r="O27" s="273"/>
      <c r="P27" s="171"/>
      <c r="Q27" s="170"/>
      <c r="R27" s="273"/>
      <c r="S27" s="273"/>
      <c r="T27" s="170"/>
      <c r="U27" s="171"/>
      <c r="V27" s="171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65"/>
      <c r="AJ27" s="233"/>
    </row>
    <row r="28" spans="1:36">
      <c r="A28" s="166" t="s">
        <v>348</v>
      </c>
      <c r="B28" s="191"/>
      <c r="C28" s="273"/>
      <c r="D28" s="273"/>
      <c r="E28" s="273"/>
      <c r="F28" s="273"/>
      <c r="G28" s="273"/>
      <c r="H28" s="171"/>
      <c r="I28" s="171"/>
      <c r="J28" s="273"/>
      <c r="K28" s="273"/>
      <c r="L28" s="273"/>
      <c r="M28" s="171"/>
      <c r="N28" s="273"/>
      <c r="O28" s="170"/>
      <c r="P28" s="171"/>
      <c r="Q28" s="273"/>
      <c r="R28" s="273"/>
      <c r="S28" s="273"/>
      <c r="T28" s="273"/>
      <c r="U28" s="171"/>
      <c r="V28" s="171"/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165"/>
      <c r="AJ28" s="235"/>
    </row>
    <row r="29" spans="1:36">
      <c r="A29" s="166" t="s">
        <v>354</v>
      </c>
      <c r="B29" s="191"/>
      <c r="C29" s="273"/>
      <c r="D29" s="273"/>
      <c r="E29" s="273"/>
      <c r="F29" s="273"/>
      <c r="G29" s="273"/>
      <c r="H29" s="171"/>
      <c r="I29" s="273"/>
      <c r="J29" s="273"/>
      <c r="K29" s="273"/>
      <c r="L29" s="273"/>
      <c r="M29" s="171"/>
      <c r="N29" s="273"/>
      <c r="O29" s="170"/>
      <c r="P29" s="273"/>
      <c r="Q29" s="273"/>
      <c r="R29" s="273"/>
      <c r="S29" s="273">
        <f>69528039-32551136</f>
        <v>36976903</v>
      </c>
      <c r="T29" s="273"/>
      <c r="U29" s="273">
        <v>1770090</v>
      </c>
      <c r="V29" s="273"/>
      <c r="W29" s="273"/>
      <c r="X29" s="273"/>
      <c r="Y29" s="273">
        <v>3302923</v>
      </c>
      <c r="Z29" s="273"/>
      <c r="AA29" s="273"/>
      <c r="AB29" s="273"/>
      <c r="AC29" s="273"/>
      <c r="AD29" s="273"/>
      <c r="AE29" s="273"/>
      <c r="AF29" s="273"/>
      <c r="AG29" s="273"/>
      <c r="AH29" s="273"/>
      <c r="AI29" s="165"/>
      <c r="AJ29" s="235"/>
    </row>
    <row r="30" spans="1:36">
      <c r="A30" s="166" t="s">
        <v>350</v>
      </c>
      <c r="B30" s="191"/>
      <c r="C30" s="273">
        <v>270894378</v>
      </c>
      <c r="D30" s="273"/>
      <c r="E30" s="273"/>
      <c r="F30" s="273"/>
      <c r="G30" s="273"/>
      <c r="H30" s="171"/>
      <c r="I30" s="273"/>
      <c r="J30" s="273"/>
      <c r="K30" s="273">
        <v>90031232</v>
      </c>
      <c r="L30" s="273"/>
      <c r="M30" s="171"/>
      <c r="N30" s="273"/>
      <c r="O30" s="170"/>
      <c r="P30" s="273"/>
      <c r="Q30" s="273"/>
      <c r="R30" s="170"/>
      <c r="S30" s="170"/>
      <c r="T30" s="273"/>
      <c r="U30" s="170"/>
      <c r="V30" s="170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165"/>
      <c r="AJ30" s="235"/>
    </row>
    <row r="31" spans="1:36">
      <c r="A31" s="166" t="s">
        <v>643</v>
      </c>
      <c r="B31" s="191"/>
      <c r="C31" s="273"/>
      <c r="D31" s="273"/>
      <c r="E31" s="273">
        <f>46717600-934352</f>
        <v>45783248</v>
      </c>
      <c r="F31" s="273"/>
      <c r="G31" s="273">
        <f>56823799-1136476</f>
        <v>55687323</v>
      </c>
      <c r="H31" s="171"/>
      <c r="I31" s="273"/>
      <c r="J31" s="273"/>
      <c r="K31" s="273">
        <f>108258243-2165165</f>
        <v>106093078</v>
      </c>
      <c r="L31" s="273"/>
      <c r="M31" s="171"/>
      <c r="N31" s="273"/>
      <c r="O31" s="170"/>
      <c r="P31" s="273"/>
      <c r="Q31" s="273"/>
      <c r="R31" s="170"/>
      <c r="S31" s="170"/>
      <c r="T31" s="273"/>
      <c r="U31" s="170"/>
      <c r="V31" s="170"/>
      <c r="W31" s="273"/>
      <c r="X31" s="273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165"/>
      <c r="AJ31" s="235"/>
    </row>
    <row r="32" spans="1:36">
      <c r="A32" s="166" t="s">
        <v>648</v>
      </c>
      <c r="B32" s="191"/>
      <c r="C32" s="167"/>
      <c r="D32" s="167"/>
      <c r="E32" s="273"/>
      <c r="F32" s="273"/>
      <c r="G32" s="273"/>
      <c r="H32" s="171"/>
      <c r="I32" s="273"/>
      <c r="J32" s="273"/>
      <c r="K32" s="273">
        <f>274793884-5495878</f>
        <v>269298006</v>
      </c>
      <c r="L32" s="273">
        <v>128330142</v>
      </c>
      <c r="M32" s="171">
        <f>128491802-2569836</f>
        <v>125921966</v>
      </c>
      <c r="N32" s="273">
        <f>225775358-4515507</f>
        <v>221259851</v>
      </c>
      <c r="O32" s="170"/>
      <c r="P32" s="167"/>
      <c r="Q32" s="273"/>
      <c r="R32" s="170"/>
      <c r="S32" s="170"/>
      <c r="T32" s="167"/>
      <c r="U32" s="170"/>
      <c r="V32" s="168"/>
      <c r="W32" s="168"/>
      <c r="X32" s="167"/>
      <c r="Y32" s="167"/>
      <c r="Z32" s="273"/>
      <c r="AA32" s="273"/>
      <c r="AB32" s="167"/>
      <c r="AC32" s="273"/>
      <c r="AD32" s="168"/>
      <c r="AE32" s="167">
        <v>215267665</v>
      </c>
      <c r="AF32" s="273"/>
      <c r="AG32" s="273"/>
      <c r="AH32" s="273"/>
      <c r="AI32" s="165"/>
      <c r="AJ32" s="235"/>
    </row>
    <row r="33" spans="1:38">
      <c r="A33" s="166" t="s">
        <v>649</v>
      </c>
      <c r="B33" s="19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274"/>
      <c r="AI33" s="165"/>
      <c r="AJ33" s="234"/>
    </row>
    <row r="34" spans="1:38">
      <c r="A34" s="166" t="s">
        <v>576</v>
      </c>
      <c r="B34" s="191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1"/>
      <c r="AD34" s="175"/>
      <c r="AE34" s="175">
        <v>103374298</v>
      </c>
      <c r="AF34" s="171"/>
      <c r="AG34" s="171"/>
      <c r="AH34" s="274"/>
      <c r="AI34" s="165"/>
      <c r="AJ34" s="234"/>
      <c r="AK34" s="184"/>
      <c r="AL34" s="186">
        <f>6325269+60889034</f>
        <v>67214303</v>
      </c>
    </row>
    <row r="35" spans="1:38">
      <c r="A35" s="187" t="s">
        <v>327</v>
      </c>
      <c r="B35" s="191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1"/>
      <c r="AD35" s="175"/>
      <c r="AE35" s="175">
        <v>61709422</v>
      </c>
      <c r="AF35" s="171"/>
      <c r="AG35" s="171"/>
      <c r="AH35" s="274"/>
      <c r="AI35" s="165"/>
      <c r="AJ35" s="234"/>
      <c r="AK35" s="184"/>
      <c r="AL35" s="186"/>
    </row>
    <row r="36" spans="1:38">
      <c r="A36" s="187" t="s">
        <v>328</v>
      </c>
      <c r="B36" s="191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1"/>
      <c r="AD36" s="175"/>
      <c r="AE36" s="175">
        <v>316175655</v>
      </c>
      <c r="AF36" s="171"/>
      <c r="AG36" s="171"/>
      <c r="AH36" s="274"/>
      <c r="AI36" s="165"/>
      <c r="AJ36" s="234"/>
      <c r="AK36" s="184"/>
      <c r="AL36" s="185"/>
    </row>
    <row r="37" spans="1:38">
      <c r="A37" s="187" t="s">
        <v>330</v>
      </c>
      <c r="B37" s="191"/>
      <c r="C37" s="172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1"/>
      <c r="AD37" s="175"/>
      <c r="AE37" s="175">
        <v>416002400</v>
      </c>
      <c r="AF37" s="171"/>
      <c r="AG37" s="171"/>
      <c r="AH37" s="274"/>
      <c r="AI37" s="165"/>
      <c r="AJ37" s="234">
        <f>SUM(AI34:AI37)</f>
        <v>0</v>
      </c>
      <c r="AK37" s="184"/>
      <c r="AL37" s="185"/>
    </row>
    <row r="38" spans="1:38">
      <c r="A38" s="166" t="s">
        <v>24</v>
      </c>
      <c r="B38" s="191"/>
      <c r="C38" s="172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2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2"/>
      <c r="AE38" s="171"/>
      <c r="AF38" s="171"/>
      <c r="AG38" s="171"/>
      <c r="AH38" s="171"/>
      <c r="AI38" s="165"/>
      <c r="AJ38" s="235"/>
      <c r="AK38" s="189"/>
    </row>
    <row r="39" spans="1:38">
      <c r="A39" s="166" t="s">
        <v>618</v>
      </c>
      <c r="B39" s="191"/>
      <c r="C39" s="172">
        <v>111542766</v>
      </c>
      <c r="D39" s="175"/>
      <c r="E39" s="175"/>
      <c r="F39" s="175"/>
      <c r="G39" s="175"/>
      <c r="H39" s="175"/>
      <c r="I39" s="175"/>
      <c r="J39" s="175"/>
      <c r="K39" s="172">
        <f>437170796-418107112</f>
        <v>19063684</v>
      </c>
      <c r="L39" s="175"/>
      <c r="M39" s="175"/>
      <c r="N39" s="175"/>
      <c r="O39" s="171"/>
      <c r="P39" s="172"/>
      <c r="Q39" s="175"/>
      <c r="R39" s="175"/>
      <c r="S39" s="175"/>
      <c r="T39" s="175"/>
      <c r="U39" s="175"/>
      <c r="V39" s="175"/>
      <c r="W39" s="175"/>
      <c r="X39" s="172">
        <v>297944086</v>
      </c>
      <c r="Y39" s="175"/>
      <c r="Z39" s="175"/>
      <c r="AA39" s="175"/>
      <c r="AB39" s="175"/>
      <c r="AC39" s="171"/>
      <c r="AD39" s="172"/>
      <c r="AE39" s="175"/>
      <c r="AF39" s="171"/>
      <c r="AG39" s="171"/>
      <c r="AH39" s="171"/>
      <c r="AI39" s="165"/>
      <c r="AJ39" s="234"/>
      <c r="AK39" s="189"/>
    </row>
    <row r="40" spans="1:38">
      <c r="A40" s="166" t="s">
        <v>493</v>
      </c>
      <c r="B40" s="191"/>
      <c r="C40" s="172"/>
      <c r="D40" s="171"/>
      <c r="E40" s="171"/>
      <c r="F40" s="171">
        <v>707256</v>
      </c>
      <c r="G40" s="171"/>
      <c r="H40" s="171"/>
      <c r="I40" s="171"/>
      <c r="J40" s="171"/>
      <c r="K40" s="171">
        <v>209038664</v>
      </c>
      <c r="L40" s="171"/>
      <c r="M40" s="171"/>
      <c r="N40" s="171"/>
      <c r="O40" s="171"/>
      <c r="P40" s="172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2"/>
      <c r="AE40" s="171"/>
      <c r="AF40" s="171"/>
      <c r="AG40" s="171"/>
      <c r="AH40" s="171"/>
      <c r="AI40" s="165"/>
      <c r="AJ40" s="234"/>
      <c r="AK40" s="189"/>
    </row>
    <row r="41" spans="1:38">
      <c r="A41" s="166" t="s">
        <v>333</v>
      </c>
      <c r="B41" s="191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273"/>
      <c r="AD41" s="168"/>
      <c r="AE41" s="167">
        <v>61003007</v>
      </c>
      <c r="AF41" s="273"/>
      <c r="AG41" s="273"/>
      <c r="AH41" s="275"/>
      <c r="AI41" s="165"/>
      <c r="AJ41" s="233"/>
    </row>
    <row r="42" spans="1:38">
      <c r="A42" s="166" t="s">
        <v>539</v>
      </c>
      <c r="B42" s="191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273"/>
      <c r="AD42" s="167"/>
      <c r="AE42" s="167">
        <f>127319117+12869993+149745116</f>
        <v>289934226</v>
      </c>
      <c r="AF42" s="273"/>
      <c r="AG42" s="273"/>
      <c r="AH42" s="275"/>
      <c r="AI42" s="165"/>
      <c r="AJ42" s="233"/>
    </row>
    <row r="43" spans="1:38">
      <c r="A43" s="166" t="s">
        <v>336</v>
      </c>
      <c r="B43" s="191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273"/>
      <c r="AD43" s="167"/>
      <c r="AE43" s="167">
        <v>30744983</v>
      </c>
      <c r="AF43" s="273"/>
      <c r="AG43" s="273"/>
      <c r="AH43" s="275"/>
      <c r="AI43" s="165"/>
      <c r="AJ43" s="233">
        <f>SUM(AI41:AI43)</f>
        <v>0</v>
      </c>
    </row>
    <row r="44" spans="1:38">
      <c r="A44" s="166" t="s">
        <v>337</v>
      </c>
      <c r="B44" s="191"/>
      <c r="C44" s="273"/>
      <c r="D44" s="273"/>
      <c r="E44" s="273"/>
      <c r="F44" s="273"/>
      <c r="G44" s="273">
        <v>38649240</v>
      </c>
      <c r="H44" s="171"/>
      <c r="I44" s="171"/>
      <c r="J44" s="273"/>
      <c r="K44" s="273"/>
      <c r="L44" s="273"/>
      <c r="M44" s="273"/>
      <c r="N44" s="273">
        <v>77298480</v>
      </c>
      <c r="O44" s="273"/>
      <c r="P44" s="273"/>
      <c r="Q44" s="273">
        <v>38649240</v>
      </c>
      <c r="R44" s="273"/>
      <c r="S44" s="273">
        <v>38649240</v>
      </c>
      <c r="T44" s="273"/>
      <c r="U44" s="273"/>
      <c r="V44" s="273"/>
      <c r="W44" s="273"/>
      <c r="X44" s="273"/>
      <c r="Y44" s="273"/>
      <c r="Z44" s="168"/>
      <c r="AA44" s="168"/>
      <c r="AB44" s="273"/>
      <c r="AC44" s="273"/>
      <c r="AD44" s="273"/>
      <c r="AE44" s="273"/>
      <c r="AF44" s="273"/>
      <c r="AG44" s="273"/>
      <c r="AH44" s="273"/>
      <c r="AI44" s="165"/>
      <c r="AJ44" s="233"/>
    </row>
    <row r="45" spans="1:38">
      <c r="A45" s="166" t="s">
        <v>650</v>
      </c>
      <c r="B45" s="191"/>
      <c r="C45" s="273"/>
      <c r="D45" s="273"/>
      <c r="E45" s="273">
        <v>115947720</v>
      </c>
      <c r="F45" s="167"/>
      <c r="G45" s="167"/>
      <c r="H45" s="171"/>
      <c r="I45" s="171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168"/>
      <c r="AA45" s="168"/>
      <c r="AB45" s="273"/>
      <c r="AC45" s="273"/>
      <c r="AD45" s="273"/>
      <c r="AE45" s="273"/>
      <c r="AF45" s="273"/>
      <c r="AG45" s="273"/>
      <c r="AH45" s="273"/>
      <c r="AI45" s="165"/>
      <c r="AJ45" s="233"/>
    </row>
    <row r="46" spans="1:38">
      <c r="A46" s="166" t="s">
        <v>655</v>
      </c>
      <c r="B46" s="191"/>
      <c r="C46" s="273"/>
      <c r="D46" s="273"/>
      <c r="E46" s="273"/>
      <c r="F46" s="167"/>
      <c r="G46" s="168">
        <v>128966140</v>
      </c>
      <c r="H46" s="171"/>
      <c r="I46" s="171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168"/>
      <c r="AA46" s="168"/>
      <c r="AB46" s="273"/>
      <c r="AC46" s="273"/>
      <c r="AD46" s="273"/>
      <c r="AE46" s="273"/>
      <c r="AF46" s="273"/>
      <c r="AG46" s="273"/>
      <c r="AH46" s="273"/>
      <c r="AI46" s="165"/>
      <c r="AJ46" s="233"/>
    </row>
    <row r="47" spans="1:38">
      <c r="A47" s="166" t="s">
        <v>656</v>
      </c>
      <c r="B47" s="191"/>
      <c r="C47" s="273"/>
      <c r="D47" s="273"/>
      <c r="E47" s="273"/>
      <c r="F47" s="167"/>
      <c r="G47" s="168">
        <v>26632318</v>
      </c>
      <c r="H47" s="171"/>
      <c r="I47" s="171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168"/>
      <c r="AA47" s="168"/>
      <c r="AB47" s="273"/>
      <c r="AC47" s="273"/>
      <c r="AD47" s="273"/>
      <c r="AE47" s="273"/>
      <c r="AF47" s="273"/>
      <c r="AG47" s="273"/>
      <c r="AH47" s="273"/>
      <c r="AI47" s="165"/>
      <c r="AJ47" s="233"/>
    </row>
    <row r="48" spans="1:38">
      <c r="A48" s="166" t="s">
        <v>657</v>
      </c>
      <c r="B48" s="191"/>
      <c r="C48" s="273"/>
      <c r="D48" s="273"/>
      <c r="E48" s="273"/>
      <c r="F48" s="167"/>
      <c r="G48" s="168"/>
      <c r="H48" s="171"/>
      <c r="I48" s="171"/>
      <c r="J48" s="273"/>
      <c r="K48" s="273"/>
      <c r="L48" s="273"/>
      <c r="M48" s="273"/>
      <c r="N48" s="273"/>
      <c r="O48" s="273"/>
      <c r="P48" s="273"/>
      <c r="Q48" s="273">
        <v>58232586</v>
      </c>
      <c r="R48" s="273"/>
      <c r="S48" s="273"/>
      <c r="T48" s="273"/>
      <c r="U48" s="273"/>
      <c r="V48" s="273"/>
      <c r="W48" s="273"/>
      <c r="X48" s="273"/>
      <c r="Y48" s="273"/>
      <c r="Z48" s="168"/>
      <c r="AA48" s="168"/>
      <c r="AB48" s="273"/>
      <c r="AC48" s="273"/>
      <c r="AD48" s="273"/>
      <c r="AE48" s="273"/>
      <c r="AF48" s="273"/>
      <c r="AG48" s="273"/>
      <c r="AH48" s="273"/>
      <c r="AI48" s="165"/>
      <c r="AJ48" s="233"/>
    </row>
    <row r="49" spans="1:36">
      <c r="A49" s="166" t="s">
        <v>27</v>
      </c>
      <c r="B49" s="191"/>
      <c r="C49" s="273"/>
      <c r="D49" s="273"/>
      <c r="E49" s="273"/>
      <c r="F49" s="273"/>
      <c r="G49" s="273"/>
      <c r="H49" s="171"/>
      <c r="I49" s="171"/>
      <c r="J49" s="273"/>
      <c r="K49" s="273"/>
      <c r="L49" s="273"/>
      <c r="M49" s="273"/>
      <c r="N49" s="273"/>
      <c r="O49" s="273"/>
      <c r="P49" s="273"/>
      <c r="Q49" s="273"/>
      <c r="R49" s="273"/>
      <c r="S49" s="273">
        <f>119880000-17563636</f>
        <v>102316364</v>
      </c>
      <c r="T49" s="273"/>
      <c r="U49" s="273"/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165"/>
      <c r="AJ49" s="233"/>
    </row>
    <row r="50" spans="1:36">
      <c r="A50" s="187" t="s">
        <v>422</v>
      </c>
      <c r="B50" s="191"/>
      <c r="C50" s="273"/>
      <c r="D50" s="273"/>
      <c r="E50" s="273"/>
      <c r="F50" s="273"/>
      <c r="G50" s="273"/>
      <c r="H50" s="171"/>
      <c r="I50" s="171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165"/>
      <c r="AJ50" s="233"/>
    </row>
    <row r="51" spans="1:36">
      <c r="A51" s="187" t="s">
        <v>423</v>
      </c>
      <c r="B51" s="191"/>
      <c r="C51" s="273"/>
      <c r="D51" s="273"/>
      <c r="E51" s="273"/>
      <c r="F51" s="273"/>
      <c r="G51" s="273"/>
      <c r="H51" s="171"/>
      <c r="I51" s="171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165"/>
      <c r="AJ51" s="233"/>
    </row>
    <row r="52" spans="1:36">
      <c r="A52" s="187" t="s">
        <v>424</v>
      </c>
      <c r="B52" s="191"/>
      <c r="C52" s="273"/>
      <c r="D52" s="273"/>
      <c r="E52" s="273"/>
      <c r="F52" s="273"/>
      <c r="G52" s="273"/>
      <c r="H52" s="171"/>
      <c r="I52" s="171"/>
      <c r="J52" s="273"/>
      <c r="K52" s="273"/>
      <c r="L52" s="171"/>
      <c r="M52" s="171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3"/>
      <c r="AH52" s="273"/>
      <c r="AI52" s="165"/>
      <c r="AJ52" s="233"/>
    </row>
    <row r="53" spans="1:36">
      <c r="A53" s="166" t="s">
        <v>30</v>
      </c>
      <c r="B53" s="191"/>
      <c r="C53" s="170"/>
      <c r="D53" s="170"/>
      <c r="E53" s="273"/>
      <c r="F53" s="273"/>
      <c r="G53" s="273"/>
      <c r="H53" s="171"/>
      <c r="I53" s="171"/>
      <c r="J53" s="170"/>
      <c r="K53" s="171"/>
      <c r="L53" s="171"/>
      <c r="M53" s="171"/>
      <c r="N53" s="170"/>
      <c r="O53" s="170"/>
      <c r="P53" s="170"/>
      <c r="Q53" s="170"/>
      <c r="R53" s="170"/>
      <c r="S53" s="170"/>
      <c r="T53" s="170"/>
      <c r="U53" s="273"/>
      <c r="V53" s="273"/>
      <c r="W53" s="170"/>
      <c r="X53" s="273"/>
      <c r="Y53" s="273"/>
      <c r="Z53" s="171"/>
      <c r="AA53" s="171"/>
      <c r="AB53" s="170"/>
      <c r="AC53" s="273"/>
      <c r="AD53" s="170"/>
      <c r="AE53" s="170"/>
      <c r="AF53" s="273"/>
      <c r="AG53" s="170"/>
      <c r="AH53" s="170"/>
      <c r="AI53" s="165"/>
      <c r="AJ53" s="170"/>
    </row>
    <row r="54" spans="1:36">
      <c r="A54" s="166" t="s">
        <v>347</v>
      </c>
      <c r="B54" s="191"/>
      <c r="C54" s="171"/>
      <c r="D54" s="171"/>
      <c r="E54" s="273"/>
      <c r="F54" s="273"/>
      <c r="G54" s="273"/>
      <c r="H54" s="171"/>
      <c r="I54" s="171"/>
      <c r="J54" s="170"/>
      <c r="K54" s="171"/>
      <c r="L54" s="171"/>
      <c r="M54" s="171"/>
      <c r="N54" s="170"/>
      <c r="O54" s="170"/>
      <c r="P54" s="170"/>
      <c r="Q54" s="170"/>
      <c r="R54" s="170"/>
      <c r="S54" s="170"/>
      <c r="T54" s="170"/>
      <c r="U54" s="273"/>
      <c r="V54" s="273"/>
      <c r="W54" s="171"/>
      <c r="X54" s="273"/>
      <c r="Y54" s="273"/>
      <c r="Z54" s="273"/>
      <c r="AA54" s="273"/>
      <c r="AB54" s="171"/>
      <c r="AC54" s="273"/>
      <c r="AD54" s="171"/>
      <c r="AE54" s="171"/>
      <c r="AF54" s="273"/>
      <c r="AG54" s="170"/>
      <c r="AH54" s="170"/>
      <c r="AI54" s="165"/>
      <c r="AJ54" s="170"/>
    </row>
    <row r="55" spans="1:36">
      <c r="A55" s="192" t="s">
        <v>476</v>
      </c>
      <c r="B55" s="191"/>
      <c r="C55" s="273"/>
      <c r="D55" s="273"/>
      <c r="E55" s="273"/>
      <c r="F55" s="273"/>
      <c r="G55" s="273"/>
      <c r="H55" s="171"/>
      <c r="I55" s="171"/>
      <c r="J55" s="273"/>
      <c r="K55" s="171"/>
      <c r="L55" s="171"/>
      <c r="M55" s="171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  <c r="AF55" s="273"/>
      <c r="AG55" s="273"/>
      <c r="AH55" s="273"/>
      <c r="AI55" s="165"/>
      <c r="AJ55" s="167"/>
    </row>
    <row r="56" spans="1:36">
      <c r="A56" s="192" t="s">
        <v>646</v>
      </c>
      <c r="B56" s="191"/>
      <c r="C56" s="273"/>
      <c r="D56" s="273"/>
      <c r="E56" s="273"/>
      <c r="F56" s="273"/>
      <c r="G56" s="273"/>
      <c r="H56" s="171"/>
      <c r="I56" s="171"/>
      <c r="J56" s="273"/>
      <c r="K56" s="171"/>
      <c r="L56" s="171"/>
      <c r="M56" s="171"/>
      <c r="N56" s="273"/>
      <c r="O56" s="273"/>
      <c r="P56" s="273"/>
      <c r="Q56" s="273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273"/>
      <c r="AC56" s="273"/>
      <c r="AD56" s="273"/>
      <c r="AE56" s="273"/>
      <c r="AF56" s="273"/>
      <c r="AG56" s="273"/>
      <c r="AH56" s="273"/>
      <c r="AI56" s="165"/>
      <c r="AJ56" s="167"/>
    </row>
    <row r="57" spans="1:36">
      <c r="A57" s="192" t="s">
        <v>647</v>
      </c>
      <c r="B57" s="191"/>
      <c r="C57" s="273"/>
      <c r="D57" s="273"/>
      <c r="E57" s="273"/>
      <c r="F57" s="273"/>
      <c r="G57" s="273"/>
      <c r="H57" s="171"/>
      <c r="I57" s="171"/>
      <c r="J57" s="273"/>
      <c r="K57" s="171"/>
      <c r="L57" s="171"/>
      <c r="M57" s="171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165"/>
      <c r="AJ57" s="167"/>
    </row>
    <row r="58" spans="1:36">
      <c r="A58" s="192" t="s">
        <v>602</v>
      </c>
      <c r="B58" s="191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273"/>
      <c r="AD58" s="175"/>
      <c r="AE58" s="175">
        <v>750000000</v>
      </c>
      <c r="AF58" s="273"/>
      <c r="AG58" s="273"/>
      <c r="AH58" s="273"/>
      <c r="AI58" s="165"/>
      <c r="AJ58" s="167"/>
    </row>
    <row r="59" spans="1:36">
      <c r="A59" s="192" t="s">
        <v>213</v>
      </c>
      <c r="B59" s="191"/>
      <c r="C59" s="273">
        <v>500000000</v>
      </c>
      <c r="D59" s="273"/>
      <c r="E59" s="273"/>
      <c r="F59" s="273"/>
      <c r="G59" s="273"/>
      <c r="H59" s="273"/>
      <c r="I59" s="273"/>
      <c r="J59" s="273"/>
      <c r="K59" s="273">
        <v>2000000000</v>
      </c>
      <c r="L59" s="171"/>
      <c r="M59" s="171"/>
      <c r="N59" s="171"/>
      <c r="O59" s="273"/>
      <c r="P59" s="273"/>
      <c r="Q59" s="171">
        <v>800000000</v>
      </c>
      <c r="R59" s="273"/>
      <c r="S59" s="273"/>
      <c r="T59" s="273"/>
      <c r="U59" s="273">
        <v>800000000</v>
      </c>
      <c r="V59" s="171"/>
      <c r="W59" s="273"/>
      <c r="X59" s="273"/>
      <c r="Y59" s="273"/>
      <c r="Z59" s="273"/>
      <c r="AA59" s="273"/>
      <c r="AB59" s="273"/>
      <c r="AC59" s="273"/>
      <c r="AD59" s="273"/>
      <c r="AE59" s="273"/>
      <c r="AF59" s="273"/>
      <c r="AG59" s="273"/>
      <c r="AH59" s="273"/>
      <c r="AI59" s="165"/>
      <c r="AJ59" s="167"/>
    </row>
    <row r="60" spans="1:36">
      <c r="A60" s="192" t="s">
        <v>613</v>
      </c>
      <c r="B60" s="191"/>
      <c r="C60" s="273"/>
      <c r="D60" s="273"/>
      <c r="E60" s="273">
        <v>3000000</v>
      </c>
      <c r="F60" s="273"/>
      <c r="G60" s="273"/>
      <c r="H60" s="273"/>
      <c r="I60" s="273"/>
      <c r="J60" s="273"/>
      <c r="K60" s="273"/>
      <c r="L60" s="171"/>
      <c r="M60" s="171"/>
      <c r="N60" s="171"/>
      <c r="O60" s="273"/>
      <c r="P60" s="273"/>
      <c r="Q60" s="171"/>
      <c r="R60" s="273"/>
      <c r="S60" s="273"/>
      <c r="T60" s="273"/>
      <c r="U60" s="273">
        <v>4704200</v>
      </c>
      <c r="V60" s="171"/>
      <c r="W60" s="273"/>
      <c r="X60" s="273"/>
      <c r="Y60" s="273"/>
      <c r="Z60" s="273"/>
      <c r="AA60" s="273"/>
      <c r="AB60" s="273"/>
      <c r="AC60" s="273"/>
      <c r="AD60" s="273"/>
      <c r="AE60" s="273"/>
      <c r="AF60" s="273"/>
      <c r="AG60" s="273"/>
      <c r="AH60" s="273"/>
      <c r="AI60" s="165"/>
      <c r="AJ60" s="167"/>
    </row>
    <row r="61" spans="1:36">
      <c r="A61" s="192" t="s">
        <v>119</v>
      </c>
      <c r="B61" s="191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1"/>
      <c r="AD61" s="175"/>
      <c r="AE61" s="175">
        <v>5000000000</v>
      </c>
      <c r="AF61" s="171"/>
      <c r="AG61" s="171"/>
      <c r="AH61" s="171"/>
      <c r="AI61" s="165"/>
      <c r="AJ61" s="175"/>
    </row>
    <row r="62" spans="1:36">
      <c r="A62" s="195" t="s">
        <v>32</v>
      </c>
      <c r="B62" s="196"/>
      <c r="C62" s="197">
        <f t="shared" ref="C62:AI62" si="0">SUM(C7:C61)</f>
        <v>882437144</v>
      </c>
      <c r="D62" s="197">
        <f t="shared" si="0"/>
        <v>0</v>
      </c>
      <c r="E62" s="197">
        <f t="shared" si="0"/>
        <v>276386361</v>
      </c>
      <c r="F62" s="197">
        <f>SUM(F7:F61)</f>
        <v>947946512</v>
      </c>
      <c r="G62" s="197">
        <f t="shared" si="0"/>
        <v>249935021</v>
      </c>
      <c r="H62" s="197">
        <f t="shared" si="0"/>
        <v>0</v>
      </c>
      <c r="I62" s="197">
        <f t="shared" si="0"/>
        <v>0</v>
      </c>
      <c r="J62" s="197">
        <f t="shared" si="0"/>
        <v>0</v>
      </c>
      <c r="K62" s="197">
        <f>SUM(K7:K61)</f>
        <v>3059102300</v>
      </c>
      <c r="L62" s="197">
        <f>SUM(L7:L61)</f>
        <v>128330142</v>
      </c>
      <c r="M62" s="197">
        <f t="shared" si="0"/>
        <v>125921966</v>
      </c>
      <c r="N62" s="197">
        <f t="shared" si="0"/>
        <v>298558331</v>
      </c>
      <c r="O62" s="197">
        <f t="shared" si="0"/>
        <v>0</v>
      </c>
      <c r="P62" s="197">
        <f t="shared" si="0"/>
        <v>0</v>
      </c>
      <c r="Q62" s="197">
        <f t="shared" si="0"/>
        <v>1188356087</v>
      </c>
      <c r="R62" s="197">
        <f t="shared" si="0"/>
        <v>0</v>
      </c>
      <c r="S62" s="197">
        <f t="shared" si="0"/>
        <v>177942507</v>
      </c>
      <c r="T62" s="197">
        <f t="shared" si="0"/>
        <v>0</v>
      </c>
      <c r="U62" s="197">
        <f t="shared" si="0"/>
        <v>812278831</v>
      </c>
      <c r="V62" s="197">
        <f t="shared" si="0"/>
        <v>0</v>
      </c>
      <c r="W62" s="197">
        <f t="shared" si="0"/>
        <v>0</v>
      </c>
      <c r="X62" s="197">
        <f t="shared" si="0"/>
        <v>334820350</v>
      </c>
      <c r="Y62" s="197">
        <f t="shared" si="0"/>
        <v>193709660</v>
      </c>
      <c r="Z62" s="197">
        <f t="shared" si="0"/>
        <v>0</v>
      </c>
      <c r="AA62" s="197">
        <f t="shared" si="0"/>
        <v>0</v>
      </c>
      <c r="AB62" s="197">
        <f t="shared" si="0"/>
        <v>0</v>
      </c>
      <c r="AC62" s="197">
        <f t="shared" si="0"/>
        <v>0</v>
      </c>
      <c r="AD62" s="197">
        <f t="shared" si="0"/>
        <v>0</v>
      </c>
      <c r="AE62" s="197">
        <f t="shared" si="0"/>
        <v>9642340543</v>
      </c>
      <c r="AF62" s="197">
        <f t="shared" si="0"/>
        <v>0</v>
      </c>
      <c r="AG62" s="197">
        <f t="shared" si="0"/>
        <v>0</v>
      </c>
      <c r="AH62" s="197">
        <f t="shared" si="0"/>
        <v>0</v>
      </c>
      <c r="AI62" s="197">
        <f t="shared" si="0"/>
        <v>0</v>
      </c>
    </row>
    <row r="63" spans="1:36">
      <c r="A63" s="199"/>
      <c r="B63" s="162"/>
      <c r="C63" s="200"/>
      <c r="D63" s="200"/>
      <c r="E63" s="165"/>
      <c r="F63" s="165"/>
      <c r="G63" s="165"/>
      <c r="H63" s="165"/>
      <c r="I63" s="165"/>
      <c r="J63" s="200"/>
      <c r="K63" s="200"/>
      <c r="L63" s="165"/>
      <c r="M63" s="165"/>
      <c r="N63" s="165"/>
      <c r="O63" s="200"/>
      <c r="P63" s="165"/>
      <c r="Q63" s="165"/>
      <c r="R63" s="165"/>
      <c r="S63" s="165"/>
      <c r="T63" s="165"/>
      <c r="U63" s="165"/>
      <c r="V63" s="165"/>
      <c r="W63" s="190">
        <v>0</v>
      </c>
      <c r="X63" s="190">
        <v>0</v>
      </c>
      <c r="Y63" s="190">
        <v>0</v>
      </c>
      <c r="Z63" s="190">
        <v>0</v>
      </c>
      <c r="AA63" s="190">
        <v>0</v>
      </c>
      <c r="AB63" s="190">
        <v>0</v>
      </c>
      <c r="AC63" s="165"/>
      <c r="AD63" s="165"/>
      <c r="AE63" s="165"/>
      <c r="AF63" s="165"/>
      <c r="AG63" s="165"/>
      <c r="AH63" s="165"/>
      <c r="AI63" s="201"/>
      <c r="AJ63" s="154"/>
    </row>
    <row r="64" spans="1:36">
      <c r="A64" s="202" t="s">
        <v>33</v>
      </c>
      <c r="B64" s="162"/>
      <c r="C64" s="165"/>
      <c r="D64" s="200"/>
      <c r="E64" s="165"/>
      <c r="F64" s="165"/>
      <c r="G64" s="200"/>
      <c r="H64" s="200"/>
      <c r="I64" s="165"/>
      <c r="J64" s="200"/>
      <c r="K64" s="200"/>
      <c r="L64" s="165"/>
      <c r="M64" s="165"/>
      <c r="N64" s="165"/>
      <c r="O64" s="200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200"/>
      <c r="AB64" s="200"/>
      <c r="AC64" s="165"/>
      <c r="AD64" s="165"/>
      <c r="AE64" s="165"/>
      <c r="AF64" s="165"/>
      <c r="AG64" s="165"/>
      <c r="AH64" s="165"/>
      <c r="AI64" s="201">
        <f t="shared" ref="AI64:AI89" si="1">SUM(B64:AG64)</f>
        <v>0</v>
      </c>
      <c r="AJ64" s="154"/>
    </row>
    <row r="65" spans="1:38">
      <c r="A65" s="203" t="s">
        <v>34</v>
      </c>
      <c r="B65" s="204"/>
      <c r="C65" s="164"/>
      <c r="D65" s="164"/>
      <c r="E65" s="164"/>
      <c r="F65" s="164"/>
      <c r="G65" s="164">
        <v>3757161272</v>
      </c>
      <c r="H65" s="164"/>
      <c r="I65" s="164"/>
      <c r="J65" s="164"/>
      <c r="K65" s="164">
        <v>1721891888</v>
      </c>
      <c r="L65" s="164">
        <v>1775585058</v>
      </c>
      <c r="M65" s="164"/>
      <c r="N65" s="164">
        <v>1118428733</v>
      </c>
      <c r="O65" s="208"/>
      <c r="P65" s="164"/>
      <c r="Q65" s="164">
        <v>314604474</v>
      </c>
      <c r="R65" s="164"/>
      <c r="S65" s="164"/>
      <c r="T65" s="164"/>
      <c r="U65" s="306"/>
      <c r="V65" s="164"/>
      <c r="W65" s="190"/>
      <c r="X65" s="164"/>
      <c r="Y65" s="164">
        <v>3144375065</v>
      </c>
      <c r="Z65" s="164"/>
      <c r="AA65" s="164"/>
      <c r="AB65" s="164"/>
      <c r="AC65" s="164"/>
      <c r="AD65" s="164"/>
      <c r="AE65" s="164"/>
      <c r="AF65" s="164"/>
      <c r="AG65" s="164"/>
      <c r="AH65" s="190"/>
      <c r="AI65" s="201">
        <f t="shared" si="1"/>
        <v>11832046490</v>
      </c>
      <c r="AJ65" s="173"/>
    </row>
    <row r="66" spans="1:38">
      <c r="A66" s="203" t="s">
        <v>34</v>
      </c>
      <c r="B66" s="204"/>
      <c r="C66" s="164"/>
      <c r="D66" s="164"/>
      <c r="E66" s="164"/>
      <c r="F66" s="164"/>
      <c r="G66" s="164"/>
      <c r="H66" s="164"/>
      <c r="I66" s="164"/>
      <c r="J66" s="164"/>
      <c r="K66" s="319"/>
      <c r="L66" s="164"/>
      <c r="M66" s="164"/>
      <c r="N66" s="164"/>
      <c r="O66" s="208"/>
      <c r="P66" s="164"/>
      <c r="Q66" s="164"/>
      <c r="R66" s="164"/>
      <c r="S66" s="164"/>
      <c r="T66" s="164"/>
      <c r="U66" s="306"/>
      <c r="V66" s="164"/>
      <c r="W66" s="190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90"/>
      <c r="AI66" s="201"/>
      <c r="AJ66" s="173"/>
    </row>
    <row r="67" spans="1:38">
      <c r="A67" s="203" t="s">
        <v>198</v>
      </c>
      <c r="B67" s="204"/>
      <c r="C67" s="164"/>
      <c r="D67" s="164"/>
      <c r="E67" s="208"/>
      <c r="F67" s="164"/>
      <c r="G67" s="164"/>
      <c r="H67" s="164"/>
      <c r="I67" s="164"/>
      <c r="J67" s="164"/>
      <c r="K67" s="164">
        <v>10713994</v>
      </c>
      <c r="L67" s="164">
        <v>10653510</v>
      </c>
      <c r="M67" s="164"/>
      <c r="N67" s="164">
        <v>6462033</v>
      </c>
      <c r="O67" s="208"/>
      <c r="P67" s="164"/>
      <c r="Q67" s="164">
        <v>1887627</v>
      </c>
      <c r="R67" s="164"/>
      <c r="S67" s="164"/>
      <c r="T67" s="164"/>
      <c r="U67" s="306"/>
      <c r="V67" s="164"/>
      <c r="W67" s="190"/>
      <c r="X67" s="164"/>
      <c r="Y67" s="164">
        <v>14097547</v>
      </c>
      <c r="Z67" s="164"/>
      <c r="AA67" s="164"/>
      <c r="AB67" s="164"/>
      <c r="AC67" s="164"/>
      <c r="AD67" s="164"/>
      <c r="AE67" s="190"/>
      <c r="AF67" s="164"/>
      <c r="AG67" s="164"/>
      <c r="AH67" s="190"/>
      <c r="AI67" s="201">
        <f t="shared" si="1"/>
        <v>43814711</v>
      </c>
      <c r="AJ67" s="173"/>
    </row>
    <row r="68" spans="1:38">
      <c r="A68" s="203" t="s">
        <v>227</v>
      </c>
      <c r="B68" s="204"/>
      <c r="C68" s="164"/>
      <c r="D68" s="172"/>
      <c r="E68" s="208">
        <v>2322668101</v>
      </c>
      <c r="F68" s="164"/>
      <c r="G68" s="164">
        <v>2390030802</v>
      </c>
      <c r="H68" s="164"/>
      <c r="I68" s="164"/>
      <c r="J68" s="164"/>
      <c r="K68" s="164">
        <v>4780638401</v>
      </c>
      <c r="L68" s="164">
        <v>614240853</v>
      </c>
      <c r="M68" s="164"/>
      <c r="N68" s="164">
        <v>3876915968</v>
      </c>
      <c r="O68" s="208"/>
      <c r="P68" s="164"/>
      <c r="Q68" s="164">
        <v>1563714575</v>
      </c>
      <c r="R68" s="164"/>
      <c r="S68" s="164"/>
      <c r="T68" s="164"/>
      <c r="U68" s="306">
        <v>2440313587</v>
      </c>
      <c r="V68" s="164"/>
      <c r="W68" s="190"/>
      <c r="X68" s="164"/>
      <c r="Y68" s="164">
        <v>4516839142</v>
      </c>
      <c r="Z68" s="164"/>
      <c r="AA68" s="164"/>
      <c r="AB68" s="164"/>
      <c r="AC68" s="164"/>
      <c r="AD68" s="164"/>
      <c r="AE68" s="306"/>
      <c r="AF68" s="164"/>
      <c r="AG68" s="164"/>
      <c r="AH68" s="190"/>
      <c r="AI68" s="201">
        <f t="shared" si="1"/>
        <v>22505361429</v>
      </c>
      <c r="AJ68" s="173"/>
    </row>
    <row r="69" spans="1:38">
      <c r="A69" s="203" t="s">
        <v>227</v>
      </c>
      <c r="B69" s="204"/>
      <c r="C69" s="190"/>
      <c r="D69" s="164"/>
      <c r="E69" s="208">
        <v>3390076654</v>
      </c>
      <c r="F69" s="164"/>
      <c r="G69" s="164"/>
      <c r="H69" s="164"/>
      <c r="I69" s="164"/>
      <c r="J69" s="164"/>
      <c r="K69" s="319"/>
      <c r="L69" s="164"/>
      <c r="M69" s="164"/>
      <c r="N69" s="164"/>
      <c r="O69" s="208"/>
      <c r="P69" s="164"/>
      <c r="Q69" s="164">
        <v>4110167509</v>
      </c>
      <c r="R69" s="164"/>
      <c r="S69" s="164"/>
      <c r="T69" s="164"/>
      <c r="U69" s="306"/>
      <c r="V69" s="164"/>
      <c r="W69" s="164"/>
      <c r="X69" s="164"/>
      <c r="Y69" s="164"/>
      <c r="Z69" s="164"/>
      <c r="AA69" s="164"/>
      <c r="AB69" s="164"/>
      <c r="AC69" s="164"/>
      <c r="AD69" s="190"/>
      <c r="AE69" s="190"/>
      <c r="AF69" s="164"/>
      <c r="AG69" s="164"/>
      <c r="AH69" s="190"/>
      <c r="AI69" s="201">
        <f t="shared" si="1"/>
        <v>7500244163</v>
      </c>
      <c r="AJ69" s="173"/>
    </row>
    <row r="70" spans="1:38">
      <c r="A70" s="203" t="s">
        <v>227</v>
      </c>
      <c r="B70" s="204"/>
      <c r="C70" s="190"/>
      <c r="D70" s="164"/>
      <c r="E70" s="208"/>
      <c r="F70" s="164"/>
      <c r="G70" s="164"/>
      <c r="H70" s="164"/>
      <c r="I70" s="164"/>
      <c r="J70" s="164"/>
      <c r="K70" s="164"/>
      <c r="L70" s="164"/>
      <c r="M70" s="164"/>
      <c r="N70" s="164"/>
      <c r="O70" s="208"/>
      <c r="P70" s="164"/>
      <c r="Q70" s="164"/>
      <c r="R70" s="164"/>
      <c r="S70" s="164"/>
      <c r="T70" s="164"/>
      <c r="U70" s="306"/>
      <c r="V70" s="190"/>
      <c r="W70" s="164"/>
      <c r="X70" s="164"/>
      <c r="Y70" s="164"/>
      <c r="Z70" s="164"/>
      <c r="AA70" s="164"/>
      <c r="AB70" s="164"/>
      <c r="AC70" s="164"/>
      <c r="AD70" s="190"/>
      <c r="AE70" s="307"/>
      <c r="AF70" s="164"/>
      <c r="AG70" s="164"/>
      <c r="AH70" s="190"/>
      <c r="AI70" s="201">
        <f t="shared" si="1"/>
        <v>0</v>
      </c>
      <c r="AJ70" s="173"/>
    </row>
    <row r="71" spans="1:38">
      <c r="A71" s="203" t="s">
        <v>227</v>
      </c>
      <c r="B71" s="204"/>
      <c r="C71" s="190"/>
      <c r="D71" s="164"/>
      <c r="E71" s="208"/>
      <c r="F71" s="164"/>
      <c r="G71" s="164"/>
      <c r="H71" s="164"/>
      <c r="I71" s="164"/>
      <c r="J71" s="164"/>
      <c r="K71" s="164"/>
      <c r="L71" s="164"/>
      <c r="M71" s="164"/>
      <c r="N71" s="164"/>
      <c r="O71" s="208"/>
      <c r="P71" s="164"/>
      <c r="Q71" s="164"/>
      <c r="R71" s="164"/>
      <c r="S71" s="164"/>
      <c r="T71" s="164"/>
      <c r="U71" s="306"/>
      <c r="V71" s="190"/>
      <c r="W71" s="164"/>
      <c r="X71" s="164"/>
      <c r="Y71" s="164"/>
      <c r="Z71" s="164"/>
      <c r="AA71" s="164"/>
      <c r="AB71" s="164"/>
      <c r="AC71" s="164"/>
      <c r="AD71" s="190"/>
      <c r="AE71" s="307"/>
      <c r="AF71" s="164"/>
      <c r="AG71" s="164"/>
      <c r="AH71" s="190"/>
      <c r="AI71" s="201">
        <f t="shared" si="1"/>
        <v>0</v>
      </c>
      <c r="AJ71" s="173"/>
    </row>
    <row r="72" spans="1:38">
      <c r="A72" s="203" t="s">
        <v>199</v>
      </c>
      <c r="B72" s="204"/>
      <c r="C72" s="190"/>
      <c r="D72" s="164">
        <v>17191747</v>
      </c>
      <c r="E72" s="208">
        <v>23725401</v>
      </c>
      <c r="F72" s="164"/>
      <c r="G72" s="164"/>
      <c r="H72" s="164"/>
      <c r="I72" s="164"/>
      <c r="J72" s="164"/>
      <c r="K72" s="164">
        <v>29746195</v>
      </c>
      <c r="L72" s="164">
        <v>3685445</v>
      </c>
      <c r="M72" s="164"/>
      <c r="N72" s="164">
        <v>22399959</v>
      </c>
      <c r="O72" s="208"/>
      <c r="P72" s="164"/>
      <c r="Q72" s="171">
        <v>34043292</v>
      </c>
      <c r="R72" s="164"/>
      <c r="S72" s="164"/>
      <c r="T72" s="208"/>
      <c r="U72" s="306">
        <v>10303546</v>
      </c>
      <c r="V72" s="164"/>
      <c r="W72" s="164"/>
      <c r="X72" s="164"/>
      <c r="Y72" s="164">
        <v>19540211</v>
      </c>
      <c r="Z72" s="164"/>
      <c r="AA72" s="164"/>
      <c r="AB72" s="164"/>
      <c r="AC72" s="164"/>
      <c r="AD72" s="172"/>
      <c r="AE72" s="306"/>
      <c r="AF72" s="208"/>
      <c r="AG72" s="164"/>
      <c r="AH72" s="190"/>
      <c r="AI72" s="201">
        <f t="shared" si="1"/>
        <v>160635796</v>
      </c>
      <c r="AJ72" s="173"/>
      <c r="AL72" s="150" t="s">
        <v>253</v>
      </c>
    </row>
    <row r="73" spans="1:38">
      <c r="A73" s="203" t="s">
        <v>199</v>
      </c>
      <c r="B73" s="204"/>
      <c r="C73" s="190"/>
      <c r="D73" s="164"/>
      <c r="E73" s="208"/>
      <c r="F73" s="164"/>
      <c r="G73" s="164"/>
      <c r="H73" s="164"/>
      <c r="I73" s="164"/>
      <c r="J73" s="164"/>
      <c r="K73" s="164"/>
      <c r="L73" s="308"/>
      <c r="M73" s="164"/>
      <c r="N73" s="164"/>
      <c r="O73" s="208"/>
      <c r="P73" s="164"/>
      <c r="Q73" s="171"/>
      <c r="R73" s="164"/>
      <c r="S73" s="164"/>
      <c r="T73" s="208"/>
      <c r="U73" s="306"/>
      <c r="V73" s="164"/>
      <c r="W73" s="164"/>
      <c r="X73" s="164"/>
      <c r="Y73" s="164"/>
      <c r="Z73" s="164"/>
      <c r="AA73" s="164"/>
      <c r="AB73" s="164"/>
      <c r="AC73" s="164"/>
      <c r="AD73" s="172"/>
      <c r="AE73" s="306"/>
      <c r="AF73" s="208"/>
      <c r="AG73" s="164"/>
      <c r="AH73" s="190"/>
      <c r="AI73" s="201"/>
      <c r="AJ73" s="173"/>
    </row>
    <row r="74" spans="1:38">
      <c r="A74" s="203" t="s">
        <v>228</v>
      </c>
      <c r="B74" s="204"/>
      <c r="C74" s="190"/>
      <c r="D74" s="208"/>
      <c r="E74" s="208"/>
      <c r="F74" s="164"/>
      <c r="G74" s="164"/>
      <c r="H74" s="164"/>
      <c r="I74" s="164"/>
      <c r="J74" s="164"/>
      <c r="K74" s="164"/>
      <c r="L74" s="308"/>
      <c r="M74" s="164"/>
      <c r="N74" s="164"/>
      <c r="O74" s="208"/>
      <c r="P74" s="208"/>
      <c r="Q74" s="164"/>
      <c r="R74" s="164"/>
      <c r="S74" s="164"/>
      <c r="T74" s="208"/>
      <c r="U74" s="309"/>
      <c r="V74" s="190"/>
      <c r="W74" s="164"/>
      <c r="X74" s="164"/>
      <c r="Y74" s="164"/>
      <c r="Z74" s="164"/>
      <c r="AA74" s="164"/>
      <c r="AB74" s="164"/>
      <c r="AC74" s="164"/>
      <c r="AD74" s="190"/>
      <c r="AE74" s="164"/>
      <c r="AF74" s="208"/>
      <c r="AG74" s="164"/>
      <c r="AH74" s="190"/>
      <c r="AI74" s="201">
        <f t="shared" si="1"/>
        <v>0</v>
      </c>
      <c r="AJ74" s="173"/>
    </row>
    <row r="75" spans="1:38">
      <c r="A75" s="203" t="s">
        <v>200</v>
      </c>
      <c r="B75" s="204"/>
      <c r="C75" s="190"/>
      <c r="D75" s="208"/>
      <c r="E75" s="208"/>
      <c r="F75" s="164"/>
      <c r="G75" s="164"/>
      <c r="H75" s="164"/>
      <c r="I75" s="164"/>
      <c r="J75" s="164"/>
      <c r="K75" s="164"/>
      <c r="L75" s="308"/>
      <c r="M75" s="164"/>
      <c r="N75" s="164"/>
      <c r="O75" s="208"/>
      <c r="P75" s="208"/>
      <c r="Q75" s="164"/>
      <c r="R75" s="164"/>
      <c r="S75" s="164"/>
      <c r="T75" s="208"/>
      <c r="U75" s="208"/>
      <c r="V75" s="190"/>
      <c r="W75" s="164"/>
      <c r="X75" s="164"/>
      <c r="Y75" s="164"/>
      <c r="Z75" s="164"/>
      <c r="AA75" s="164"/>
      <c r="AB75" s="164"/>
      <c r="AC75" s="164"/>
      <c r="AD75" s="190"/>
      <c r="AE75" s="164"/>
      <c r="AF75" s="208"/>
      <c r="AG75" s="164"/>
      <c r="AH75" s="190"/>
      <c r="AI75" s="201">
        <f t="shared" si="1"/>
        <v>0</v>
      </c>
      <c r="AJ75" s="173"/>
    </row>
    <row r="76" spans="1:38">
      <c r="A76" s="203" t="s">
        <v>36</v>
      </c>
      <c r="B76" s="204"/>
      <c r="C76" s="190"/>
      <c r="D76" s="208"/>
      <c r="E76" s="208"/>
      <c r="F76" s="164"/>
      <c r="G76" s="164">
        <v>989583824</v>
      </c>
      <c r="H76" s="164"/>
      <c r="I76" s="164"/>
      <c r="J76" s="164"/>
      <c r="K76" s="164">
        <v>2392216211</v>
      </c>
      <c r="L76" s="308">
        <v>508105436</v>
      </c>
      <c r="M76" s="164"/>
      <c r="N76" s="164">
        <v>1798142907</v>
      </c>
      <c r="O76" s="208"/>
      <c r="P76" s="208"/>
      <c r="Q76" s="164">
        <v>2545970478</v>
      </c>
      <c r="R76" s="164"/>
      <c r="S76" s="164"/>
      <c r="T76" s="208"/>
      <c r="U76" s="208">
        <v>1969166226</v>
      </c>
      <c r="V76" s="190"/>
      <c r="W76" s="190"/>
      <c r="X76" s="164"/>
      <c r="Y76" s="164">
        <v>4140994732</v>
      </c>
      <c r="Z76" s="164"/>
      <c r="AA76" s="164"/>
      <c r="AB76" s="164"/>
      <c r="AC76" s="164"/>
      <c r="AD76" s="190"/>
      <c r="AE76" s="164"/>
      <c r="AF76" s="208"/>
      <c r="AG76" s="164"/>
      <c r="AH76" s="190"/>
      <c r="AI76" s="201">
        <f t="shared" si="1"/>
        <v>14344179814</v>
      </c>
      <c r="AJ76" s="173"/>
    </row>
    <row r="77" spans="1:38">
      <c r="A77" s="203" t="s">
        <v>36</v>
      </c>
      <c r="B77" s="204"/>
      <c r="C77" s="190"/>
      <c r="D77" s="208"/>
      <c r="E77" s="208"/>
      <c r="F77" s="164"/>
      <c r="G77" s="164"/>
      <c r="H77" s="164"/>
      <c r="I77" s="164"/>
      <c r="J77" s="164"/>
      <c r="K77" s="320"/>
      <c r="L77" s="308"/>
      <c r="M77" s="164"/>
      <c r="N77" s="164"/>
      <c r="O77" s="208"/>
      <c r="P77" s="208"/>
      <c r="Q77" s="164">
        <v>2564671067</v>
      </c>
      <c r="R77" s="164"/>
      <c r="S77" s="164"/>
      <c r="T77" s="208"/>
      <c r="U77" s="208"/>
      <c r="V77" s="190"/>
      <c r="W77" s="164"/>
      <c r="X77" s="164"/>
      <c r="Y77" s="164"/>
      <c r="Z77" s="164"/>
      <c r="AA77" s="164"/>
      <c r="AB77" s="164"/>
      <c r="AC77" s="164"/>
      <c r="AD77" s="190"/>
      <c r="AE77" s="164"/>
      <c r="AF77" s="208"/>
      <c r="AG77" s="164"/>
      <c r="AH77" s="190"/>
      <c r="AI77" s="201"/>
      <c r="AJ77" s="173"/>
    </row>
    <row r="78" spans="1:38">
      <c r="A78" s="203" t="s">
        <v>36</v>
      </c>
      <c r="B78" s="204"/>
      <c r="C78" s="190"/>
      <c r="D78" s="208"/>
      <c r="E78" s="208"/>
      <c r="F78" s="164"/>
      <c r="G78" s="164"/>
      <c r="H78" s="164"/>
      <c r="I78" s="164"/>
      <c r="J78" s="164"/>
      <c r="K78" s="164"/>
      <c r="L78" s="308"/>
      <c r="M78" s="164"/>
      <c r="N78" s="164"/>
      <c r="O78" s="208"/>
      <c r="P78" s="208"/>
      <c r="Q78" s="164"/>
      <c r="R78" s="164"/>
      <c r="S78" s="164"/>
      <c r="T78" s="208"/>
      <c r="U78" s="208"/>
      <c r="V78" s="190"/>
      <c r="W78" s="164"/>
      <c r="X78" s="164"/>
      <c r="Y78" s="164"/>
      <c r="Z78" s="164"/>
      <c r="AA78" s="164"/>
      <c r="AB78" s="164"/>
      <c r="AC78" s="164"/>
      <c r="AD78" s="190"/>
      <c r="AE78" s="164"/>
      <c r="AF78" s="208"/>
      <c r="AG78" s="164"/>
      <c r="AH78" s="190"/>
      <c r="AI78" s="201"/>
      <c r="AJ78" s="173"/>
    </row>
    <row r="79" spans="1:38">
      <c r="A79" s="203" t="s">
        <v>242</v>
      </c>
      <c r="B79" s="204"/>
      <c r="C79" s="190"/>
      <c r="D79" s="208"/>
      <c r="E79" s="208"/>
      <c r="F79" s="164"/>
      <c r="G79" s="164"/>
      <c r="H79" s="164"/>
      <c r="I79" s="164"/>
      <c r="J79" s="164"/>
      <c r="K79" s="164">
        <v>15815207</v>
      </c>
      <c r="L79" s="308">
        <v>3239172</v>
      </c>
      <c r="M79" s="164"/>
      <c r="N79" s="164">
        <v>11038600</v>
      </c>
      <c r="O79" s="208"/>
      <c r="P79" s="208"/>
      <c r="Q79" s="164">
        <v>32580340</v>
      </c>
      <c r="R79" s="164"/>
      <c r="S79" s="164"/>
      <c r="T79" s="208"/>
      <c r="U79" s="208">
        <v>8833898</v>
      </c>
      <c r="V79" s="190"/>
      <c r="W79" s="164"/>
      <c r="X79" s="164"/>
      <c r="Y79" s="164">
        <v>19387740</v>
      </c>
      <c r="Z79" s="164"/>
      <c r="AA79" s="164"/>
      <c r="AB79" s="164"/>
      <c r="AC79" s="164"/>
      <c r="AD79" s="190"/>
      <c r="AE79" s="164"/>
      <c r="AF79" s="208"/>
      <c r="AG79" s="164"/>
      <c r="AH79" s="190"/>
      <c r="AI79" s="201">
        <f t="shared" si="1"/>
        <v>90894957</v>
      </c>
      <c r="AJ79" s="173"/>
    </row>
    <row r="80" spans="1:38">
      <c r="A80" s="162" t="s">
        <v>53</v>
      </c>
      <c r="B80" s="204"/>
      <c r="C80" s="164"/>
      <c r="D80" s="172"/>
      <c r="E80" s="208"/>
      <c r="F80" s="164"/>
      <c r="G80" s="164"/>
      <c r="H80" s="164"/>
      <c r="I80" s="164"/>
      <c r="J80" s="164"/>
      <c r="K80" s="164"/>
      <c r="L80" s="308"/>
      <c r="M80" s="164"/>
      <c r="N80" s="172"/>
      <c r="O80" s="172"/>
      <c r="P80" s="172"/>
      <c r="Q80" s="164"/>
      <c r="R80" s="164"/>
      <c r="S80" s="243"/>
      <c r="T80" s="208"/>
      <c r="U80" s="171"/>
      <c r="V80" s="170"/>
      <c r="W80" s="164"/>
      <c r="X80" s="171"/>
      <c r="Y80" s="171"/>
      <c r="Z80" s="164"/>
      <c r="AA80" s="164"/>
      <c r="AB80" s="164"/>
      <c r="AC80" s="164"/>
      <c r="AD80" s="164"/>
      <c r="AE80" s="164"/>
      <c r="AF80" s="208"/>
      <c r="AG80" s="164"/>
      <c r="AH80" s="164"/>
      <c r="AI80" s="201">
        <f t="shared" si="1"/>
        <v>0</v>
      </c>
      <c r="AJ80" s="173"/>
    </row>
    <row r="81" spans="1:36">
      <c r="A81" s="162" t="s">
        <v>54</v>
      </c>
      <c r="B81" s="204"/>
      <c r="C81" s="164"/>
      <c r="D81" s="208"/>
      <c r="E81" s="172"/>
      <c r="F81" s="164"/>
      <c r="G81" s="164"/>
      <c r="H81" s="164"/>
      <c r="I81" s="164"/>
      <c r="J81" s="164"/>
      <c r="K81" s="164"/>
      <c r="L81" s="310"/>
      <c r="M81" s="164"/>
      <c r="N81" s="164"/>
      <c r="O81" s="208"/>
      <c r="P81" s="172"/>
      <c r="Q81" s="164"/>
      <c r="R81" s="164"/>
      <c r="S81" s="164"/>
      <c r="T81" s="208"/>
      <c r="U81" s="208"/>
      <c r="V81" s="170"/>
      <c r="W81" s="172"/>
      <c r="X81" s="170"/>
      <c r="Y81" s="170"/>
      <c r="Z81" s="172"/>
      <c r="AA81" s="164"/>
      <c r="AB81" s="164"/>
      <c r="AC81" s="164"/>
      <c r="AD81" s="164"/>
      <c r="AE81" s="164"/>
      <c r="AF81" s="208"/>
      <c r="AG81" s="164"/>
      <c r="AH81" s="190"/>
      <c r="AI81" s="201">
        <f t="shared" si="1"/>
        <v>0</v>
      </c>
      <c r="AJ81" s="173">
        <v>1</v>
      </c>
    </row>
    <row r="82" spans="1:36">
      <c r="A82" s="162" t="s">
        <v>203</v>
      </c>
      <c r="B82" s="204"/>
      <c r="C82" s="164"/>
      <c r="D82" s="208"/>
      <c r="E82" s="172"/>
      <c r="F82" s="164"/>
      <c r="G82" s="164"/>
      <c r="H82" s="164"/>
      <c r="I82" s="208"/>
      <c r="J82" s="164"/>
      <c r="K82" s="164"/>
      <c r="L82" s="310"/>
      <c r="M82" s="164"/>
      <c r="N82" s="164"/>
      <c r="O82" s="208"/>
      <c r="P82" s="172"/>
      <c r="Q82" s="164"/>
      <c r="R82" s="164"/>
      <c r="S82" s="164"/>
      <c r="T82" s="208"/>
      <c r="U82" s="208"/>
      <c r="V82" s="171"/>
      <c r="W82" s="172"/>
      <c r="X82" s="170"/>
      <c r="Y82" s="170"/>
      <c r="Z82" s="172"/>
      <c r="AA82" s="164"/>
      <c r="AB82" s="164"/>
      <c r="AC82" s="164"/>
      <c r="AD82" s="164"/>
      <c r="AE82" s="208"/>
      <c r="AF82" s="208"/>
      <c r="AG82" s="164"/>
      <c r="AH82" s="190"/>
      <c r="AI82" s="201">
        <f t="shared" si="1"/>
        <v>0</v>
      </c>
      <c r="AJ82" s="173"/>
    </row>
    <row r="83" spans="1:36" ht="15" customHeight="1">
      <c r="A83" s="162" t="s">
        <v>37</v>
      </c>
      <c r="B83" s="204"/>
      <c r="C83" s="164">
        <v>298862192</v>
      </c>
      <c r="D83" s="164"/>
      <c r="E83" s="172"/>
      <c r="F83" s="164"/>
      <c r="G83" s="172">
        <v>2398726114</v>
      </c>
      <c r="H83" s="164"/>
      <c r="I83" s="172"/>
      <c r="J83" s="164"/>
      <c r="K83" s="164">
        <f>1632306347</f>
        <v>1632306347</v>
      </c>
      <c r="L83" s="310">
        <v>759092309</v>
      </c>
      <c r="M83" s="164"/>
      <c r="N83" s="164">
        <v>2203082212</v>
      </c>
      <c r="O83" s="208"/>
      <c r="P83" s="171"/>
      <c r="Q83" s="164">
        <v>1323685286</v>
      </c>
      <c r="R83" s="164">
        <v>1406411773</v>
      </c>
      <c r="S83" s="164"/>
      <c r="T83" s="208"/>
      <c r="U83" s="171"/>
      <c r="V83" s="171"/>
      <c r="W83" s="164"/>
      <c r="X83" s="171"/>
      <c r="Y83" s="171"/>
      <c r="Z83" s="164"/>
      <c r="AA83" s="171">
        <v>387491489</v>
      </c>
      <c r="AB83" s="172">
        <v>3043960575</v>
      </c>
      <c r="AC83" s="172"/>
      <c r="AD83" s="164"/>
      <c r="AE83" s="172"/>
      <c r="AF83" s="175"/>
      <c r="AG83" s="164"/>
      <c r="AH83" s="164"/>
      <c r="AI83" s="201">
        <f t="shared" si="1"/>
        <v>13453618297</v>
      </c>
      <c r="AJ83" s="173"/>
    </row>
    <row r="84" spans="1:36">
      <c r="A84" s="162" t="s">
        <v>38</v>
      </c>
      <c r="B84" s="204"/>
      <c r="C84" s="164"/>
      <c r="D84" s="171"/>
      <c r="E84" s="172"/>
      <c r="F84" s="164"/>
      <c r="G84" s="164"/>
      <c r="H84" s="164"/>
      <c r="I84" s="208"/>
      <c r="J84" s="164"/>
      <c r="K84" s="172">
        <f>464521873+2028695787</f>
        <v>2493217660</v>
      </c>
      <c r="L84" s="310"/>
      <c r="M84" s="164"/>
      <c r="N84" s="172"/>
      <c r="O84" s="172"/>
      <c r="P84" s="208"/>
      <c r="Q84" s="177"/>
      <c r="R84" s="171"/>
      <c r="S84" s="164"/>
      <c r="T84" s="171"/>
      <c r="U84" s="208"/>
      <c r="V84" s="208"/>
      <c r="W84" s="172"/>
      <c r="X84" s="171"/>
      <c r="Y84" s="171"/>
      <c r="Z84" s="172"/>
      <c r="AA84" s="171">
        <v>1971217267</v>
      </c>
      <c r="AB84" s="172">
        <v>2612965460</v>
      </c>
      <c r="AC84" s="164"/>
      <c r="AD84" s="164"/>
      <c r="AE84" s="208"/>
      <c r="AF84" s="171"/>
      <c r="AG84" s="170"/>
      <c r="AH84" s="170"/>
      <c r="AI84" s="201">
        <f t="shared" si="1"/>
        <v>7077400387</v>
      </c>
      <c r="AJ84" s="173"/>
    </row>
    <row r="85" spans="1:36">
      <c r="A85" s="162" t="s">
        <v>540</v>
      </c>
      <c r="B85" s="204"/>
      <c r="C85" s="164">
        <v>43259902</v>
      </c>
      <c r="D85" s="171"/>
      <c r="E85" s="172"/>
      <c r="F85" s="164"/>
      <c r="G85" s="164"/>
      <c r="H85" s="164"/>
      <c r="I85" s="208"/>
      <c r="J85" s="164"/>
      <c r="K85" s="172"/>
      <c r="L85" s="208"/>
      <c r="M85" s="164"/>
      <c r="N85" s="177"/>
      <c r="O85" s="172"/>
      <c r="P85" s="208"/>
      <c r="Q85" s="177"/>
      <c r="R85" s="171"/>
      <c r="S85" s="164"/>
      <c r="T85" s="171"/>
      <c r="U85" s="208"/>
      <c r="V85" s="208"/>
      <c r="W85" s="172"/>
      <c r="X85" s="171"/>
      <c r="Y85" s="171"/>
      <c r="Z85" s="172"/>
      <c r="AA85" s="171"/>
      <c r="AB85" s="172">
        <v>71414912</v>
      </c>
      <c r="AC85" s="164"/>
      <c r="AD85" s="164"/>
      <c r="AE85" s="208"/>
      <c r="AF85" s="171"/>
      <c r="AG85" s="170"/>
      <c r="AH85" s="170"/>
      <c r="AI85" s="201">
        <f t="shared" si="1"/>
        <v>114674814</v>
      </c>
      <c r="AJ85" s="173"/>
    </row>
    <row r="86" spans="1:36">
      <c r="A86" s="162" t="s">
        <v>175</v>
      </c>
      <c r="B86" s="204"/>
      <c r="C86" s="172">
        <v>3762612208</v>
      </c>
      <c r="D86" s="172"/>
      <c r="E86" s="172"/>
      <c r="F86" s="164"/>
      <c r="G86" s="164">
        <v>2490573319</v>
      </c>
      <c r="H86" s="164"/>
      <c r="I86" s="208"/>
      <c r="J86" s="172"/>
      <c r="K86" s="164">
        <v>652537319</v>
      </c>
      <c r="L86" s="171">
        <v>1063928404</v>
      </c>
      <c r="M86" s="164"/>
      <c r="N86" s="172">
        <v>1126145227</v>
      </c>
      <c r="O86" s="172"/>
      <c r="P86" s="173"/>
      <c r="Q86" s="208">
        <v>1890133256</v>
      </c>
      <c r="R86" s="171">
        <v>4071745675</v>
      </c>
      <c r="S86" s="164"/>
      <c r="T86" s="164"/>
      <c r="U86" s="164"/>
      <c r="V86" s="164"/>
      <c r="W86" s="175"/>
      <c r="X86" s="175"/>
      <c r="Y86" s="175"/>
      <c r="Z86" s="172"/>
      <c r="AA86" s="172">
        <v>2289737044</v>
      </c>
      <c r="AB86" s="172"/>
      <c r="AC86" s="164"/>
      <c r="AD86" s="172"/>
      <c r="AE86" s="171"/>
      <c r="AF86" s="171"/>
      <c r="AG86" s="171"/>
      <c r="AH86" s="170"/>
      <c r="AI86" s="201">
        <f t="shared" si="1"/>
        <v>17347412452</v>
      </c>
      <c r="AJ86" s="173"/>
    </row>
    <row r="87" spans="1:36">
      <c r="A87" s="162" t="s">
        <v>176</v>
      </c>
      <c r="B87" s="204"/>
      <c r="C87" s="164"/>
      <c r="D87" s="164"/>
      <c r="E87" s="172"/>
      <c r="F87" s="164"/>
      <c r="G87" s="164"/>
      <c r="H87" s="164"/>
      <c r="I87" s="208"/>
      <c r="J87" s="172"/>
      <c r="K87" s="172"/>
      <c r="L87" s="208">
        <v>2286664730</v>
      </c>
      <c r="M87" s="164"/>
      <c r="N87" s="164"/>
      <c r="O87" s="172"/>
      <c r="P87" s="208"/>
      <c r="Q87" s="164"/>
      <c r="R87" s="306"/>
      <c r="S87" s="164"/>
      <c r="T87" s="172"/>
      <c r="U87" s="171"/>
      <c r="V87" s="171"/>
      <c r="W87" s="164"/>
      <c r="X87" s="171"/>
      <c r="Y87" s="172"/>
      <c r="Z87" s="208"/>
      <c r="AA87" s="164">
        <v>1730107592</v>
      </c>
      <c r="AB87" s="172"/>
      <c r="AC87" s="164"/>
      <c r="AD87" s="164"/>
      <c r="AE87" s="208"/>
      <c r="AF87" s="171"/>
      <c r="AG87" s="164"/>
      <c r="AH87" s="164"/>
      <c r="AI87" s="201">
        <f t="shared" si="1"/>
        <v>4016772322</v>
      </c>
      <c r="AJ87" s="173"/>
    </row>
    <row r="88" spans="1:36">
      <c r="A88" s="162" t="s">
        <v>409</v>
      </c>
      <c r="B88" s="204"/>
      <c r="C88" s="164"/>
      <c r="D88" s="164"/>
      <c r="E88" s="172"/>
      <c r="F88" s="164"/>
      <c r="G88" s="164"/>
      <c r="H88" s="164"/>
      <c r="I88" s="208"/>
      <c r="J88" s="172"/>
      <c r="K88" s="172"/>
      <c r="L88" s="208"/>
      <c r="M88" s="164"/>
      <c r="N88" s="164"/>
      <c r="O88" s="172"/>
      <c r="P88" s="208"/>
      <c r="Q88" s="164"/>
      <c r="R88" s="306"/>
      <c r="S88" s="164"/>
      <c r="T88" s="172"/>
      <c r="U88" s="171"/>
      <c r="V88" s="171"/>
      <c r="W88" s="164"/>
      <c r="X88" s="171"/>
      <c r="Y88" s="171"/>
      <c r="Z88" s="171"/>
      <c r="AA88" s="171"/>
      <c r="AB88" s="172"/>
      <c r="AC88" s="164"/>
      <c r="AD88" s="164"/>
      <c r="AE88" s="309"/>
      <c r="AF88" s="171"/>
      <c r="AG88" s="164"/>
      <c r="AH88" s="164"/>
      <c r="AI88" s="201"/>
      <c r="AJ88" s="173"/>
    </row>
    <row r="89" spans="1:36">
      <c r="A89" s="162" t="s">
        <v>202</v>
      </c>
      <c r="B89" s="204"/>
      <c r="C89" s="164">
        <v>64440032</v>
      </c>
      <c r="D89" s="164"/>
      <c r="E89" s="172"/>
      <c r="F89" s="164"/>
      <c r="G89" s="164"/>
      <c r="H89" s="164"/>
      <c r="I89" s="208"/>
      <c r="J89" s="172"/>
      <c r="K89" s="172"/>
      <c r="L89" s="208"/>
      <c r="M89" s="164"/>
      <c r="N89" s="164"/>
      <c r="O89" s="172"/>
      <c r="P89" s="208"/>
      <c r="Q89" s="164"/>
      <c r="R89" s="306"/>
      <c r="S89" s="164"/>
      <c r="T89" s="172"/>
      <c r="U89" s="171"/>
      <c r="V89" s="164"/>
      <c r="W89" s="164"/>
      <c r="X89" s="171"/>
      <c r="Y89" s="172"/>
      <c r="Z89" s="164"/>
      <c r="AA89" s="164"/>
      <c r="AB89" s="172">
        <v>77264972</v>
      </c>
      <c r="AC89" s="164"/>
      <c r="AD89" s="164"/>
      <c r="AE89" s="306"/>
      <c r="AF89" s="171"/>
      <c r="AG89" s="164"/>
      <c r="AH89" s="164"/>
      <c r="AI89" s="201">
        <f t="shared" si="1"/>
        <v>141705004</v>
      </c>
      <c r="AJ89" s="173"/>
    </row>
    <row r="90" spans="1:36">
      <c r="A90" s="211" t="s">
        <v>41</v>
      </c>
      <c r="B90" s="212"/>
      <c r="C90" s="213">
        <f t="shared" ref="C90:AI90" si="2">SUM(C65:C89)</f>
        <v>4169174334</v>
      </c>
      <c r="D90" s="213">
        <f t="shared" si="2"/>
        <v>17191747</v>
      </c>
      <c r="E90" s="213">
        <f t="shared" si="2"/>
        <v>5736470156</v>
      </c>
      <c r="F90" s="213">
        <f t="shared" si="2"/>
        <v>0</v>
      </c>
      <c r="G90" s="213">
        <f t="shared" si="2"/>
        <v>12026075331</v>
      </c>
      <c r="H90" s="213">
        <f t="shared" si="2"/>
        <v>0</v>
      </c>
      <c r="I90" s="213">
        <f t="shared" si="2"/>
        <v>0</v>
      </c>
      <c r="J90" s="213">
        <f t="shared" si="2"/>
        <v>0</v>
      </c>
      <c r="K90" s="213">
        <f t="shared" si="2"/>
        <v>13729083222</v>
      </c>
      <c r="L90" s="213">
        <f t="shared" si="2"/>
        <v>7025194917</v>
      </c>
      <c r="M90" s="213">
        <f t="shared" si="2"/>
        <v>0</v>
      </c>
      <c r="N90" s="213">
        <f t="shared" si="2"/>
        <v>10162615639</v>
      </c>
      <c r="O90" s="213">
        <f t="shared" si="2"/>
        <v>0</v>
      </c>
      <c r="P90" s="213">
        <f t="shared" si="2"/>
        <v>0</v>
      </c>
      <c r="Q90" s="213">
        <f t="shared" si="2"/>
        <v>14381457904</v>
      </c>
      <c r="R90" s="213">
        <f t="shared" si="2"/>
        <v>5478157448</v>
      </c>
      <c r="S90" s="213">
        <f t="shared" si="2"/>
        <v>0</v>
      </c>
      <c r="T90" s="213">
        <f t="shared" si="2"/>
        <v>0</v>
      </c>
      <c r="U90" s="213">
        <f t="shared" si="2"/>
        <v>4428617257</v>
      </c>
      <c r="V90" s="213">
        <f t="shared" si="2"/>
        <v>0</v>
      </c>
      <c r="W90" s="213">
        <f t="shared" si="2"/>
        <v>0</v>
      </c>
      <c r="X90" s="213">
        <f t="shared" si="2"/>
        <v>0</v>
      </c>
      <c r="Y90" s="213">
        <f t="shared" si="2"/>
        <v>11855234437</v>
      </c>
      <c r="Z90" s="213">
        <f t="shared" si="2"/>
        <v>0</v>
      </c>
      <c r="AA90" s="213">
        <f t="shared" si="2"/>
        <v>6378553392</v>
      </c>
      <c r="AB90" s="213">
        <f t="shared" si="2"/>
        <v>5805605919</v>
      </c>
      <c r="AC90" s="213">
        <f t="shared" si="2"/>
        <v>0</v>
      </c>
      <c r="AD90" s="213">
        <f t="shared" si="2"/>
        <v>0</v>
      </c>
      <c r="AE90" s="213">
        <f t="shared" si="2"/>
        <v>0</v>
      </c>
      <c r="AF90" s="213">
        <f t="shared" si="2"/>
        <v>0</v>
      </c>
      <c r="AG90" s="213">
        <f t="shared" si="2"/>
        <v>0</v>
      </c>
      <c r="AH90" s="213">
        <f t="shared" si="2"/>
        <v>0</v>
      </c>
      <c r="AI90" s="213">
        <f t="shared" si="2"/>
        <v>98628760636</v>
      </c>
      <c r="AJ90" s="154"/>
    </row>
    <row r="91" spans="1:36">
      <c r="A91" s="393" t="s">
        <v>42</v>
      </c>
      <c r="B91" s="394"/>
      <c r="C91" s="215">
        <f t="shared" ref="C91:AG91" si="3">C62+C90</f>
        <v>5051611478</v>
      </c>
      <c r="D91" s="215">
        <f t="shared" si="3"/>
        <v>17191747</v>
      </c>
      <c r="E91" s="216">
        <f t="shared" si="3"/>
        <v>6012856517</v>
      </c>
      <c r="F91" s="216">
        <f t="shared" si="3"/>
        <v>947946512</v>
      </c>
      <c r="G91" s="216">
        <f t="shared" si="3"/>
        <v>12276010352</v>
      </c>
      <c r="H91" s="216">
        <f t="shared" si="3"/>
        <v>0</v>
      </c>
      <c r="I91" s="216">
        <f t="shared" si="3"/>
        <v>0</v>
      </c>
      <c r="J91" s="215">
        <f t="shared" si="3"/>
        <v>0</v>
      </c>
      <c r="K91" s="215">
        <f t="shared" si="3"/>
        <v>16788185522</v>
      </c>
      <c r="L91" s="216">
        <f t="shared" si="3"/>
        <v>7153525059</v>
      </c>
      <c r="M91" s="216">
        <f t="shared" si="3"/>
        <v>125921966</v>
      </c>
      <c r="N91" s="216">
        <f t="shared" si="3"/>
        <v>10461173970</v>
      </c>
      <c r="O91" s="216">
        <f t="shared" si="3"/>
        <v>0</v>
      </c>
      <c r="P91" s="216">
        <f t="shared" si="3"/>
        <v>0</v>
      </c>
      <c r="Q91" s="216">
        <f t="shared" si="3"/>
        <v>15569813991</v>
      </c>
      <c r="R91" s="216">
        <f t="shared" si="3"/>
        <v>5478157448</v>
      </c>
      <c r="S91" s="216">
        <f t="shared" si="3"/>
        <v>177942507</v>
      </c>
      <c r="T91" s="216">
        <f t="shared" si="3"/>
        <v>0</v>
      </c>
      <c r="U91" s="216">
        <f t="shared" si="3"/>
        <v>5240896088</v>
      </c>
      <c r="V91" s="216">
        <f t="shared" si="3"/>
        <v>0</v>
      </c>
      <c r="W91" s="216">
        <f t="shared" si="3"/>
        <v>0</v>
      </c>
      <c r="X91" s="216">
        <f t="shared" si="3"/>
        <v>334820350</v>
      </c>
      <c r="Y91" s="216">
        <f t="shared" si="3"/>
        <v>12048944097</v>
      </c>
      <c r="Z91" s="216">
        <f t="shared" si="3"/>
        <v>0</v>
      </c>
      <c r="AA91" s="216">
        <f t="shared" si="3"/>
        <v>6378553392</v>
      </c>
      <c r="AB91" s="216">
        <f t="shared" si="3"/>
        <v>5805605919</v>
      </c>
      <c r="AC91" s="216">
        <f t="shared" si="3"/>
        <v>0</v>
      </c>
      <c r="AD91" s="216">
        <f t="shared" si="3"/>
        <v>0</v>
      </c>
      <c r="AE91" s="216">
        <f t="shared" si="3"/>
        <v>9642340543</v>
      </c>
      <c r="AF91" s="216">
        <f t="shared" si="3"/>
        <v>0</v>
      </c>
      <c r="AG91" s="216">
        <f t="shared" si="3"/>
        <v>0</v>
      </c>
      <c r="AH91" s="216"/>
      <c r="AI91" s="216">
        <f>SUM(C91:AG91)</f>
        <v>119511497458</v>
      </c>
    </row>
    <row r="93" spans="1:36">
      <c r="A93" s="150" t="s">
        <v>50</v>
      </c>
      <c r="C93" s="248">
        <v>19267468214</v>
      </c>
      <c r="D93" s="292">
        <v>15273795870</v>
      </c>
      <c r="E93" s="248">
        <v>20550972938</v>
      </c>
      <c r="F93" s="248">
        <v>21924937330</v>
      </c>
      <c r="G93" s="248"/>
      <c r="H93" s="248"/>
      <c r="I93" s="248"/>
      <c r="J93" s="248"/>
      <c r="K93" s="292">
        <v>30218942268</v>
      </c>
      <c r="L93" s="248">
        <v>19126367061</v>
      </c>
      <c r="M93" s="248"/>
      <c r="N93" s="248"/>
      <c r="O93" s="248"/>
      <c r="P93" s="248"/>
      <c r="Q93" s="248">
        <v>23749311244</v>
      </c>
      <c r="R93" s="248">
        <v>11413161158</v>
      </c>
      <c r="S93" s="248">
        <v>9635375173</v>
      </c>
      <c r="T93" s="248"/>
      <c r="U93" s="248">
        <v>16055023919</v>
      </c>
      <c r="V93" s="248"/>
      <c r="W93" s="248"/>
      <c r="X93" s="248"/>
      <c r="Y93" s="248"/>
      <c r="Z93" s="248"/>
      <c r="AA93" s="248"/>
      <c r="AB93" s="293">
        <v>14690825643</v>
      </c>
      <c r="AC93" s="248"/>
      <c r="AD93" s="248"/>
      <c r="AE93" s="248"/>
      <c r="AF93" s="248"/>
      <c r="AG93" s="248"/>
      <c r="AH93" s="248"/>
      <c r="AI93" s="228"/>
      <c r="AJ93" s="228"/>
    </row>
    <row r="94" spans="1:36">
      <c r="A94" s="150" t="s">
        <v>139</v>
      </c>
      <c r="C94" s="294">
        <f>C93-C91</f>
        <v>14215856736</v>
      </c>
      <c r="D94" s="295">
        <f>D93-D91</f>
        <v>15256604123</v>
      </c>
      <c r="E94" s="296">
        <f>E93-E91</f>
        <v>14538116421</v>
      </c>
      <c r="F94" s="248">
        <f>F93-F91</f>
        <v>20976990818</v>
      </c>
      <c r="G94" s="296"/>
      <c r="H94" s="248"/>
      <c r="I94" s="296"/>
      <c r="J94" s="248"/>
      <c r="K94" s="297">
        <f>K93-K91</f>
        <v>13430756746</v>
      </c>
      <c r="L94" s="296">
        <f>L93-L91</f>
        <v>11972842002</v>
      </c>
      <c r="M94" s="293"/>
      <c r="N94" s="293"/>
      <c r="O94" s="293"/>
      <c r="P94" s="293"/>
      <c r="Q94" s="293">
        <f>Q93-Q91</f>
        <v>8179497253</v>
      </c>
      <c r="R94" s="293">
        <f>R93-R91</f>
        <v>5935003710</v>
      </c>
      <c r="S94" s="293">
        <f>S93-S91</f>
        <v>9457432666</v>
      </c>
      <c r="T94" s="293"/>
      <c r="U94" s="293">
        <f>U93-U91</f>
        <v>10814127831</v>
      </c>
      <c r="V94" s="293"/>
      <c r="W94" s="296"/>
      <c r="X94" s="248"/>
      <c r="Y94" s="296"/>
      <c r="Z94" s="248"/>
      <c r="AA94" s="248"/>
      <c r="AB94" s="293"/>
      <c r="AC94" s="296"/>
      <c r="AD94" s="296"/>
      <c r="AE94" s="296"/>
      <c r="AF94" s="296"/>
      <c r="AG94" s="296"/>
      <c r="AH94" s="296"/>
      <c r="AI94" s="296"/>
      <c r="AJ94" s="228"/>
    </row>
    <row r="95" spans="1:36">
      <c r="A95" s="150" t="s">
        <v>181</v>
      </c>
      <c r="C95" s="248"/>
      <c r="D95" s="295">
        <v>2274227659</v>
      </c>
      <c r="E95" s="248">
        <v>3443027627</v>
      </c>
      <c r="F95" s="248">
        <v>3688247000</v>
      </c>
      <c r="G95" s="248"/>
      <c r="H95" s="248"/>
      <c r="I95" s="248"/>
      <c r="J95" s="248"/>
      <c r="K95" s="297">
        <v>3544522679</v>
      </c>
      <c r="L95" s="248"/>
      <c r="M95" s="248"/>
      <c r="N95" s="248"/>
      <c r="O95" s="293"/>
      <c r="P95" s="248"/>
      <c r="Q95" s="248"/>
      <c r="R95" s="296">
        <v>2076340083</v>
      </c>
      <c r="S95" s="248">
        <v>2200000000</v>
      </c>
      <c r="T95" s="248"/>
      <c r="U95" s="248">
        <v>2802375963</v>
      </c>
      <c r="V95" s="248"/>
      <c r="W95" s="248"/>
      <c r="X95" s="248"/>
      <c r="Y95" s="293"/>
      <c r="Z95" s="248"/>
      <c r="AA95" s="248"/>
      <c r="AB95" s="248"/>
      <c r="AC95" s="248"/>
      <c r="AD95" s="293"/>
      <c r="AE95" s="248"/>
      <c r="AF95" s="248"/>
      <c r="AG95" s="248"/>
      <c r="AH95" s="248"/>
      <c r="AI95" s="296"/>
      <c r="AJ95" s="228"/>
    </row>
    <row r="96" spans="1:36">
      <c r="A96" s="150" t="s">
        <v>654</v>
      </c>
      <c r="C96" s="248"/>
      <c r="D96" s="295">
        <f>D94+D95</f>
        <v>17530831782</v>
      </c>
      <c r="E96" s="248">
        <f>E94+E95</f>
        <v>17981144048</v>
      </c>
      <c r="F96" s="248">
        <f>F94+F95</f>
        <v>24665237818</v>
      </c>
      <c r="G96" s="248"/>
      <c r="H96" s="248"/>
      <c r="I96" s="248"/>
      <c r="J96" s="292"/>
      <c r="K96" s="292">
        <f>K94+K95</f>
        <v>16975279425</v>
      </c>
      <c r="L96" s="248"/>
      <c r="M96" s="248"/>
      <c r="N96" s="248"/>
      <c r="O96" s="248"/>
      <c r="P96" s="248"/>
      <c r="Q96" s="248"/>
      <c r="R96" s="248">
        <f>R94+R95</f>
        <v>8011343793</v>
      </c>
      <c r="S96" s="248">
        <f>S94+S95</f>
        <v>11657432666</v>
      </c>
      <c r="T96" s="248"/>
      <c r="U96" s="248"/>
      <c r="V96" s="248"/>
      <c r="W96" s="248"/>
      <c r="X96" s="248"/>
      <c r="Y96" s="293"/>
      <c r="Z96" s="296"/>
      <c r="AA96" s="296"/>
      <c r="AB96" s="248"/>
      <c r="AC96" s="248"/>
      <c r="AD96" s="296"/>
      <c r="AE96" s="296"/>
      <c r="AF96" s="296"/>
      <c r="AG96" s="296"/>
      <c r="AH96" s="296"/>
      <c r="AI96" s="296"/>
      <c r="AJ96" s="228"/>
    </row>
    <row r="97" spans="1:39">
      <c r="A97" s="150" t="s">
        <v>407</v>
      </c>
      <c r="C97" s="297"/>
      <c r="D97" s="297">
        <f>D72</f>
        <v>17191747</v>
      </c>
      <c r="E97" s="248"/>
      <c r="F97" s="248"/>
      <c r="G97" s="228"/>
      <c r="H97" s="293"/>
      <c r="I97" s="248"/>
      <c r="J97" s="292"/>
      <c r="K97" s="297"/>
      <c r="L97" s="248"/>
      <c r="M97" s="248"/>
      <c r="N97" s="248"/>
      <c r="O97" s="296"/>
      <c r="P97" s="248"/>
      <c r="Q97" s="296"/>
      <c r="R97" s="293">
        <f>R83+R86</f>
        <v>5478157448</v>
      </c>
      <c r="S97" s="296"/>
      <c r="T97" s="296"/>
      <c r="U97" s="248"/>
      <c r="V97" s="248"/>
      <c r="W97" s="293"/>
      <c r="X97" s="248"/>
      <c r="Y97" s="296"/>
      <c r="Z97" s="296"/>
      <c r="AA97" s="296"/>
      <c r="AB97" s="248"/>
      <c r="AC97" s="228"/>
      <c r="AD97" s="228"/>
      <c r="AE97" s="228"/>
      <c r="AF97" s="228"/>
      <c r="AG97" s="248"/>
      <c r="AH97" s="248"/>
      <c r="AI97" s="228"/>
      <c r="AJ97" s="296"/>
    </row>
    <row r="98" spans="1:39">
      <c r="C98" s="193"/>
      <c r="F98" s="154"/>
      <c r="I98" s="219"/>
      <c r="K98" s="218"/>
      <c r="L98" s="154"/>
      <c r="R98" s="217"/>
      <c r="S98" s="219"/>
      <c r="V98" s="154"/>
      <c r="W98" s="219"/>
      <c r="X98" s="219"/>
      <c r="AD98" s="398" t="s">
        <v>639</v>
      </c>
      <c r="AE98" s="398"/>
      <c r="AF98" s="398"/>
    </row>
    <row r="99" spans="1:39">
      <c r="L99" s="154"/>
      <c r="Y99" s="154"/>
      <c r="AD99" s="284" t="s">
        <v>443</v>
      </c>
      <c r="AE99" s="285" t="s">
        <v>444</v>
      </c>
      <c r="AF99" s="284" t="s">
        <v>445</v>
      </c>
      <c r="AG99" s="283"/>
      <c r="AH99" s="222"/>
      <c r="AI99" s="169"/>
      <c r="AJ99" s="176"/>
    </row>
    <row r="100" spans="1:39">
      <c r="C100" s="150"/>
      <c r="D100" s="150"/>
      <c r="F100" s="395" t="s">
        <v>481</v>
      </c>
      <c r="G100" s="395"/>
      <c r="H100" s="395" t="s">
        <v>481</v>
      </c>
      <c r="I100" s="395"/>
      <c r="J100" s="395" t="s">
        <v>481</v>
      </c>
      <c r="K100" s="395"/>
      <c r="L100" s="395" t="s">
        <v>481</v>
      </c>
      <c r="M100" s="395"/>
      <c r="P100" s="298" t="s">
        <v>430</v>
      </c>
      <c r="Q100" s="298"/>
      <c r="R100" s="395" t="s">
        <v>481</v>
      </c>
      <c r="S100" s="395"/>
      <c r="T100" s="395"/>
      <c r="AD100" s="169" t="s">
        <v>640</v>
      </c>
      <c r="AE100" s="176" t="s">
        <v>641</v>
      </c>
      <c r="AF100" s="176">
        <v>2010000</v>
      </c>
      <c r="AG100" s="222"/>
      <c r="AH100" s="222"/>
      <c r="AI100" s="169"/>
      <c r="AJ100" s="176"/>
    </row>
    <row r="101" spans="1:39" ht="49.5" customHeight="1">
      <c r="F101" s="395" t="s">
        <v>482</v>
      </c>
      <c r="G101" s="395"/>
      <c r="H101" s="395" t="s">
        <v>504</v>
      </c>
      <c r="I101" s="395"/>
      <c r="J101" s="395" t="s">
        <v>508</v>
      </c>
      <c r="K101" s="395"/>
      <c r="L101" s="395" t="s">
        <v>546</v>
      </c>
      <c r="M101" s="395"/>
      <c r="O101" s="150" t="s">
        <v>375</v>
      </c>
      <c r="P101" s="299">
        <v>44635</v>
      </c>
      <c r="Q101" s="299"/>
      <c r="R101" s="402" t="s">
        <v>603</v>
      </c>
      <c r="S101" s="402"/>
      <c r="T101" s="402"/>
      <c r="U101" s="185"/>
      <c r="AA101" s="150" t="s">
        <v>111</v>
      </c>
      <c r="AD101" s="162" t="s">
        <v>611</v>
      </c>
      <c r="AE101" s="313" t="s">
        <v>642</v>
      </c>
      <c r="AF101" s="314">
        <v>3735000</v>
      </c>
      <c r="AG101" s="222"/>
      <c r="AH101" s="222"/>
      <c r="AI101" s="169"/>
      <c r="AJ101" s="176"/>
    </row>
    <row r="102" spans="1:39" ht="19.5" customHeight="1">
      <c r="F102" s="316"/>
      <c r="G102" s="316"/>
      <c r="H102" s="316"/>
      <c r="I102" s="316"/>
      <c r="J102" s="316"/>
      <c r="K102" s="316"/>
      <c r="L102" s="316"/>
      <c r="M102" s="316"/>
      <c r="P102" s="299"/>
      <c r="Q102" s="299"/>
      <c r="R102" s="318"/>
      <c r="S102" s="318"/>
      <c r="T102" s="318"/>
      <c r="U102" s="185"/>
      <c r="AD102" s="162" t="s">
        <v>644</v>
      </c>
      <c r="AE102" s="313" t="s">
        <v>645</v>
      </c>
      <c r="AF102" s="314">
        <v>10000000</v>
      </c>
      <c r="AG102" s="248"/>
      <c r="AH102" s="248"/>
      <c r="AI102" s="169"/>
      <c r="AJ102" s="176"/>
    </row>
    <row r="103" spans="1:39">
      <c r="C103" s="150"/>
      <c r="D103" s="150"/>
      <c r="F103" s="169"/>
      <c r="G103" s="176"/>
      <c r="H103" s="154"/>
      <c r="J103" s="169"/>
      <c r="K103" s="176"/>
      <c r="L103" s="169"/>
      <c r="M103" s="176"/>
      <c r="N103" s="247"/>
      <c r="O103" s="247"/>
      <c r="P103" s="250"/>
      <c r="Q103" s="250"/>
      <c r="R103" s="250"/>
      <c r="S103" s="250"/>
      <c r="T103" s="250"/>
      <c r="U103" s="247"/>
      <c r="V103" s="247"/>
      <c r="W103" s="226"/>
      <c r="X103" s="176"/>
      <c r="Y103" s="248"/>
      <c r="Z103" s="154"/>
      <c r="AD103" s="169"/>
      <c r="AE103" s="176"/>
      <c r="AF103" s="176"/>
      <c r="AI103" s="169"/>
      <c r="AJ103" s="176"/>
    </row>
    <row r="104" spans="1:39">
      <c r="C104" s="150"/>
      <c r="D104" s="150"/>
      <c r="F104" s="169"/>
      <c r="G104" s="176"/>
      <c r="H104" s="154"/>
      <c r="I104" s="154"/>
      <c r="J104" s="169"/>
      <c r="K104" s="176"/>
      <c r="L104" s="169"/>
      <c r="M104" s="176"/>
      <c r="O104" s="228"/>
      <c r="P104" s="317"/>
      <c r="Q104" s="317"/>
      <c r="R104" s="317"/>
      <c r="S104" s="317"/>
      <c r="T104" s="251"/>
      <c r="U104" s="228"/>
      <c r="V104" s="229"/>
      <c r="W104" s="169"/>
      <c r="X104" s="176"/>
      <c r="Y104" s="154"/>
      <c r="Z104" s="154"/>
      <c r="AD104" s="169" t="s">
        <v>241</v>
      </c>
      <c r="AE104" s="176"/>
      <c r="AF104" s="176">
        <f>SUM(AF100:AF102)</f>
        <v>15745000</v>
      </c>
      <c r="AI104" s="169"/>
      <c r="AJ104" s="176"/>
    </row>
    <row r="105" spans="1:39">
      <c r="C105" s="150"/>
      <c r="D105" s="150"/>
      <c r="F105" s="169"/>
      <c r="G105" s="176"/>
      <c r="H105" s="154"/>
      <c r="I105" s="154"/>
      <c r="J105" s="169"/>
      <c r="K105" s="176"/>
      <c r="L105" s="169"/>
      <c r="M105" s="176"/>
      <c r="O105" s="228"/>
      <c r="P105" s="317"/>
      <c r="Q105" s="317"/>
      <c r="R105" s="317"/>
      <c r="S105" s="317"/>
      <c r="T105" s="251"/>
      <c r="U105" s="228"/>
      <c r="V105" s="229"/>
      <c r="W105" s="169"/>
      <c r="X105" s="176"/>
      <c r="Y105" s="154"/>
      <c r="Z105" s="154"/>
      <c r="AD105" s="169"/>
      <c r="AE105" s="176"/>
      <c r="AF105" s="176"/>
      <c r="AI105" s="169"/>
      <c r="AJ105" s="176"/>
    </row>
    <row r="106" spans="1:39">
      <c r="C106" s="150"/>
      <c r="D106" s="150"/>
      <c r="F106" s="169"/>
      <c r="G106" s="176"/>
      <c r="H106" s="154"/>
      <c r="I106" s="154"/>
      <c r="J106" s="169"/>
      <c r="K106" s="176"/>
      <c r="L106" s="169"/>
      <c r="M106" s="176"/>
      <c r="O106" s="228"/>
      <c r="P106" s="317"/>
      <c r="Q106" s="317"/>
      <c r="R106" s="317"/>
      <c r="S106" s="317"/>
      <c r="T106" s="251"/>
      <c r="U106" s="228"/>
      <c r="V106" s="229"/>
      <c r="W106" s="169"/>
      <c r="X106" s="272"/>
      <c r="Y106" s="154"/>
      <c r="Z106" s="154"/>
      <c r="AD106" s="287"/>
      <c r="AE106" s="288"/>
      <c r="AI106" s="169"/>
      <c r="AJ106" s="176"/>
    </row>
    <row r="107" spans="1:39">
      <c r="C107" s="150"/>
      <c r="D107" s="150"/>
      <c r="F107" s="169"/>
      <c r="G107" s="176"/>
      <c r="I107" s="154"/>
      <c r="J107" s="169"/>
      <c r="K107" s="176"/>
      <c r="L107" s="169"/>
      <c r="M107" s="176"/>
      <c r="N107" s="247"/>
      <c r="O107" s="247"/>
      <c r="P107" s="250"/>
      <c r="Q107" s="250"/>
      <c r="R107" s="250"/>
      <c r="S107" s="250"/>
      <c r="T107" s="250"/>
      <c r="U107" s="247"/>
      <c r="V107" s="247"/>
      <c r="W107" s="226"/>
      <c r="X107" s="169"/>
      <c r="Y107" s="248"/>
      <c r="Z107" s="248"/>
      <c r="AD107" s="169"/>
      <c r="AE107" s="176"/>
      <c r="AI107" s="169"/>
      <c r="AJ107" s="176"/>
      <c r="AM107" s="150" t="s">
        <v>111</v>
      </c>
    </row>
    <row r="108" spans="1:39">
      <c r="C108" s="150"/>
      <c r="D108" s="150"/>
      <c r="F108" s="169"/>
      <c r="G108" s="176"/>
      <c r="I108" s="154"/>
      <c r="J108" s="169"/>
      <c r="K108" s="176"/>
      <c r="L108" s="169"/>
      <c r="M108" s="176"/>
      <c r="N108" s="247"/>
      <c r="O108" s="247"/>
      <c r="P108" s="250"/>
      <c r="Q108" s="250"/>
      <c r="R108" s="250"/>
      <c r="S108" s="250"/>
      <c r="T108" s="250"/>
      <c r="U108" s="247"/>
      <c r="V108" s="247"/>
      <c r="W108" s="226"/>
      <c r="X108" s="169"/>
      <c r="Y108" s="154"/>
      <c r="Z108" s="154"/>
      <c r="AD108" s="169"/>
      <c r="AE108" s="176"/>
      <c r="AI108" s="169"/>
      <c r="AJ108" s="176"/>
    </row>
    <row r="109" spans="1:39">
      <c r="C109" s="150"/>
      <c r="D109" s="150"/>
      <c r="F109" s="169"/>
      <c r="G109" s="176"/>
      <c r="I109" s="154"/>
      <c r="J109" s="169"/>
      <c r="K109" s="176"/>
      <c r="L109" s="169"/>
      <c r="M109" s="176"/>
      <c r="N109" s="247"/>
      <c r="O109" s="247"/>
      <c r="P109" s="250"/>
      <c r="Q109" s="250"/>
      <c r="R109" s="250"/>
      <c r="S109" s="250"/>
      <c r="T109" s="250"/>
      <c r="U109" s="247"/>
      <c r="V109" s="247"/>
      <c r="W109" s="226"/>
      <c r="X109" s="169"/>
      <c r="Y109" s="248"/>
      <c r="Z109" s="248"/>
      <c r="AD109" s="169"/>
      <c r="AE109" s="176"/>
      <c r="AI109" s="169"/>
      <c r="AJ109" s="176"/>
    </row>
    <row r="110" spans="1:39">
      <c r="C110" s="150"/>
      <c r="D110" s="154"/>
      <c r="E110" s="154"/>
      <c r="F110" s="169"/>
      <c r="G110" s="176"/>
      <c r="I110" s="154"/>
      <c r="J110" s="193"/>
      <c r="O110" s="228"/>
      <c r="P110" s="248"/>
      <c r="Q110" s="248"/>
      <c r="R110" s="248"/>
      <c r="S110" s="248"/>
      <c r="T110" s="248"/>
      <c r="U110" s="248"/>
      <c r="V110" s="228"/>
      <c r="W110" s="248"/>
      <c r="X110" s="248"/>
      <c r="Y110" s="154"/>
      <c r="Z110" s="154"/>
      <c r="AA110" s="154"/>
      <c r="AD110" s="169"/>
      <c r="AE110" s="176"/>
      <c r="AI110" s="169"/>
      <c r="AJ110" s="176"/>
    </row>
    <row r="111" spans="1:39">
      <c r="D111" s="193"/>
      <c r="E111" s="154"/>
      <c r="F111" s="169"/>
      <c r="G111" s="176"/>
      <c r="H111" s="154"/>
      <c r="I111" s="154"/>
      <c r="J111" s="193"/>
      <c r="P111" s="247"/>
      <c r="Q111" s="247"/>
      <c r="R111" s="247"/>
      <c r="S111" s="247"/>
      <c r="T111" s="154"/>
      <c r="U111" s="154"/>
      <c r="W111" s="154"/>
      <c r="X111" s="154"/>
      <c r="Y111" s="154"/>
      <c r="Z111" s="154"/>
      <c r="AA111" s="154"/>
      <c r="AD111" s="169"/>
      <c r="AE111" s="176"/>
      <c r="AI111" s="192"/>
      <c r="AJ111" s="227"/>
    </row>
    <row r="112" spans="1:39">
      <c r="D112" s="193"/>
      <c r="E112" s="154"/>
      <c r="G112" s="154"/>
      <c r="H112" s="154"/>
      <c r="I112" s="154"/>
      <c r="J112" s="193"/>
      <c r="K112" s="193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W112" s="248"/>
      <c r="X112" s="248"/>
      <c r="Y112" s="248"/>
      <c r="Z112" s="248"/>
      <c r="AA112" s="154"/>
      <c r="AD112" s="169"/>
      <c r="AE112" s="176"/>
      <c r="AJ112" s="154"/>
    </row>
    <row r="113" spans="3:42">
      <c r="D113" s="193"/>
      <c r="E113" s="154"/>
      <c r="G113" s="154"/>
      <c r="H113" s="154"/>
      <c r="I113" s="154"/>
      <c r="J113" s="193"/>
      <c r="K113" s="193"/>
      <c r="L113" s="193"/>
      <c r="M113" s="193"/>
      <c r="N113" s="154"/>
      <c r="O113" s="154"/>
      <c r="P113" s="154"/>
      <c r="Q113" s="154"/>
      <c r="R113" s="154"/>
      <c r="S113" s="154"/>
      <c r="T113" s="154"/>
      <c r="U113" s="154"/>
      <c r="W113" s="154"/>
      <c r="X113" s="154"/>
      <c r="Y113" s="154"/>
      <c r="Z113" s="154"/>
      <c r="AA113" s="154"/>
      <c r="AD113" s="192" t="s">
        <v>241</v>
      </c>
      <c r="AE113" s="227">
        <f>SUM(AE99:AE111)</f>
        <v>0</v>
      </c>
      <c r="AJ113" s="154"/>
      <c r="AL113" s="150" t="s">
        <v>112</v>
      </c>
    </row>
    <row r="114" spans="3:42">
      <c r="D114" s="193"/>
      <c r="E114" s="154"/>
      <c r="H114" s="154"/>
      <c r="I114" s="154"/>
      <c r="K114" s="193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W114" s="248"/>
      <c r="X114" s="248"/>
      <c r="Y114" s="248"/>
      <c r="Z114" s="248"/>
      <c r="AA114" s="154"/>
      <c r="AG114" s="154">
        <v>202787778</v>
      </c>
      <c r="AH114" s="154">
        <v>168013836</v>
      </c>
      <c r="AI114" s="154">
        <v>88797176</v>
      </c>
      <c r="AJ114" s="154">
        <v>287208700</v>
      </c>
      <c r="AP114" s="150" t="s">
        <v>108</v>
      </c>
    </row>
    <row r="115" spans="3:42">
      <c r="D115" s="193"/>
      <c r="E115" s="154"/>
      <c r="H115" s="154"/>
      <c r="I115" s="154"/>
      <c r="K115" s="193"/>
      <c r="L115" s="193"/>
      <c r="M115" s="193"/>
      <c r="N115" s="154"/>
      <c r="O115" s="154"/>
      <c r="P115" s="154"/>
      <c r="Q115" s="154"/>
      <c r="R115" s="154"/>
      <c r="S115" s="154"/>
      <c r="T115" s="154"/>
      <c r="U115" s="154"/>
      <c r="W115" s="154"/>
      <c r="X115" s="154"/>
      <c r="Y115" s="154"/>
      <c r="Z115" s="154"/>
      <c r="AA115" s="154"/>
      <c r="AD115" s="150" t="s">
        <v>415</v>
      </c>
      <c r="AF115" s="154">
        <v>1000000000</v>
      </c>
      <c r="AG115" s="154" t="e">
        <f ca="1">[3]!terbilang(AG114)</f>
        <v>#NAME?</v>
      </c>
      <c r="AH115" s="154" t="e">
        <f ca="1">[3]!terbilang(AH114)</f>
        <v>#NAME?</v>
      </c>
      <c r="AI115" s="154" t="e">
        <f ca="1">[3]!terbilang(AI114)</f>
        <v>#NAME?</v>
      </c>
      <c r="AJ115" s="154" t="e">
        <f ca="1">[3]!terbilang(AJ114)</f>
        <v>#NAME?</v>
      </c>
    </row>
    <row r="116" spans="3:42">
      <c r="C116" s="150"/>
      <c r="D116" s="154"/>
      <c r="E116" s="154"/>
      <c r="H116" s="154"/>
      <c r="I116" s="154"/>
      <c r="K116" s="193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W116" s="248"/>
      <c r="X116" s="154"/>
      <c r="Y116" s="154"/>
      <c r="Z116" s="154"/>
      <c r="AA116" s="154"/>
      <c r="AE116" s="154">
        <v>160312320</v>
      </c>
      <c r="AF116" s="154" t="e">
        <f ca="1">[3]!terbilang(AF115)</f>
        <v>#NAME?</v>
      </c>
      <c r="AG116" s="154"/>
      <c r="AH116" s="154"/>
      <c r="AI116" s="154"/>
      <c r="AJ116" s="154"/>
    </row>
    <row r="117" spans="3:42">
      <c r="C117" s="150"/>
      <c r="D117" s="154"/>
      <c r="E117" s="154"/>
      <c r="G117" s="154"/>
      <c r="H117" s="154"/>
      <c r="I117" s="154"/>
      <c r="J117" s="193"/>
      <c r="K117" s="193"/>
      <c r="L117" s="193"/>
      <c r="M117" s="193"/>
      <c r="N117" s="193"/>
      <c r="O117" s="193"/>
      <c r="P117" s="193"/>
      <c r="Q117" s="154"/>
      <c r="R117" s="154"/>
      <c r="S117" s="154"/>
      <c r="T117" s="154"/>
      <c r="U117" s="154"/>
      <c r="W117" s="154"/>
      <c r="X117" s="154"/>
      <c r="Y117" s="154"/>
      <c r="Z117" s="154"/>
      <c r="AA117" s="154"/>
      <c r="AE117" s="154" t="e">
        <f ca="1">[3]!terbilang(AE116)</f>
        <v>#NAME?</v>
      </c>
      <c r="AF117" s="154"/>
      <c r="AG117" s="154"/>
      <c r="AH117" s="154"/>
      <c r="AI117" s="154"/>
      <c r="AJ117" s="154"/>
    </row>
    <row r="118" spans="3:42">
      <c r="C118" s="150"/>
      <c r="D118" s="154"/>
      <c r="E118" s="154"/>
      <c r="G118" s="154"/>
      <c r="H118" s="154"/>
      <c r="I118" s="154"/>
      <c r="J118" s="193"/>
      <c r="K118" s="193"/>
      <c r="L118" s="193"/>
      <c r="M118" s="193"/>
      <c r="N118" s="193"/>
      <c r="O118" s="193"/>
      <c r="P118" s="193"/>
      <c r="Q118" s="154"/>
      <c r="R118" s="154"/>
      <c r="S118" s="154"/>
      <c r="T118" s="154"/>
      <c r="U118" s="154"/>
      <c r="W118" s="154"/>
      <c r="X118" s="154"/>
      <c r="Y118" s="154"/>
      <c r="Z118" s="154"/>
      <c r="AA118" s="154"/>
      <c r="AE118" s="154"/>
      <c r="AF118" s="154"/>
      <c r="AG118" s="154"/>
      <c r="AH118" s="154"/>
      <c r="AI118" s="154"/>
      <c r="AJ118" s="154"/>
    </row>
    <row r="119" spans="3:42">
      <c r="C119" s="150"/>
      <c r="D119" s="154"/>
      <c r="E119" s="154"/>
      <c r="G119" s="154"/>
      <c r="H119" s="154"/>
      <c r="I119" s="154"/>
      <c r="J119" s="193"/>
      <c r="K119" s="193"/>
      <c r="L119" s="193"/>
      <c r="M119" s="193"/>
      <c r="N119" s="193"/>
      <c r="O119" s="193"/>
      <c r="P119" s="193"/>
      <c r="Q119" s="154"/>
      <c r="R119" s="154"/>
      <c r="S119" s="154"/>
      <c r="T119" s="154"/>
      <c r="U119" s="154"/>
      <c r="W119" s="154"/>
      <c r="X119" s="154"/>
      <c r="Y119" s="154"/>
      <c r="Z119" s="154"/>
      <c r="AA119" s="154"/>
      <c r="AE119" s="154"/>
      <c r="AF119" s="154"/>
      <c r="AG119" s="154"/>
      <c r="AH119" s="154"/>
      <c r="AI119" s="154"/>
      <c r="AJ119" s="154"/>
    </row>
    <row r="120" spans="3:42">
      <c r="C120" s="150"/>
      <c r="D120" s="154"/>
      <c r="E120" s="154"/>
      <c r="G120" s="154"/>
      <c r="H120" s="154"/>
      <c r="I120" s="154"/>
      <c r="J120" s="193"/>
      <c r="K120" s="193"/>
      <c r="L120" s="193"/>
      <c r="M120" s="193"/>
      <c r="N120" s="193"/>
      <c r="O120" s="193"/>
      <c r="P120" s="193"/>
      <c r="Q120" s="154"/>
      <c r="R120" s="154"/>
      <c r="S120" s="154"/>
      <c r="T120" s="154"/>
      <c r="U120" s="154"/>
      <c r="W120" s="154"/>
      <c r="X120" s="154"/>
      <c r="Y120" s="154"/>
      <c r="Z120" s="154"/>
      <c r="AA120" s="154"/>
      <c r="AE120" s="154"/>
      <c r="AF120" s="154"/>
      <c r="AG120" s="154"/>
      <c r="AH120" s="154"/>
      <c r="AI120" s="154"/>
      <c r="AJ120" s="154"/>
    </row>
    <row r="121" spans="3:42">
      <c r="C121" s="150"/>
      <c r="D121" s="154"/>
      <c r="E121" s="154"/>
      <c r="G121" s="154"/>
      <c r="H121" s="154"/>
      <c r="I121" s="154"/>
      <c r="J121" s="193"/>
      <c r="K121" s="193"/>
      <c r="L121" s="193"/>
      <c r="M121" s="193"/>
      <c r="N121" s="193"/>
      <c r="O121" s="193"/>
      <c r="P121" s="193"/>
      <c r="Q121" s="154"/>
      <c r="R121" s="154"/>
      <c r="S121" s="154"/>
      <c r="T121" s="154"/>
      <c r="U121" s="154"/>
      <c r="W121" s="154"/>
      <c r="X121" s="154"/>
      <c r="Y121" s="154"/>
      <c r="Z121" s="154"/>
      <c r="AA121" s="154"/>
      <c r="AE121" s="154"/>
      <c r="AF121" s="154"/>
      <c r="AG121" s="154"/>
      <c r="AH121" s="154"/>
      <c r="AI121" s="154"/>
      <c r="AJ121" s="154"/>
    </row>
    <row r="122" spans="3:42">
      <c r="C122" s="150"/>
      <c r="D122" s="154"/>
      <c r="E122" s="154"/>
      <c r="G122" s="154"/>
      <c r="H122" s="154"/>
      <c r="I122" s="154"/>
      <c r="J122" s="193"/>
      <c r="K122" s="193"/>
      <c r="L122" s="193"/>
      <c r="M122" s="193"/>
      <c r="N122" s="193"/>
      <c r="O122" s="193"/>
      <c r="P122" s="193"/>
      <c r="Q122" s="154"/>
      <c r="R122" s="154"/>
      <c r="S122" s="154"/>
      <c r="T122" s="154"/>
      <c r="U122" s="154"/>
      <c r="W122" s="154"/>
      <c r="X122" s="154"/>
      <c r="Y122" s="154"/>
      <c r="Z122" s="154"/>
      <c r="AA122" s="154"/>
      <c r="AE122" s="154"/>
      <c r="AF122" s="154"/>
      <c r="AG122" s="154"/>
      <c r="AH122" s="154"/>
      <c r="AI122" s="154"/>
      <c r="AJ122" s="154"/>
    </row>
    <row r="123" spans="3:42">
      <c r="C123" s="150"/>
      <c r="D123" s="154"/>
      <c r="E123" s="154"/>
      <c r="G123" s="154"/>
      <c r="H123" s="154"/>
      <c r="I123" s="154"/>
      <c r="J123" s="193"/>
      <c r="K123" s="193"/>
      <c r="L123" s="193"/>
      <c r="M123" s="193"/>
      <c r="N123" s="193"/>
      <c r="O123" s="193"/>
      <c r="P123" s="193"/>
      <c r="Q123" s="154"/>
      <c r="R123" s="154"/>
      <c r="S123" s="154"/>
      <c r="T123" s="154"/>
      <c r="U123" s="154"/>
      <c r="W123" s="154"/>
      <c r="X123" s="154"/>
      <c r="Y123" s="154"/>
      <c r="Z123" s="154"/>
      <c r="AA123" s="154"/>
      <c r="AE123" s="154"/>
      <c r="AF123" s="154"/>
      <c r="AG123" s="154"/>
      <c r="AH123" s="154"/>
      <c r="AI123" s="154"/>
      <c r="AJ123" s="154"/>
    </row>
    <row r="124" spans="3:42">
      <c r="C124" s="150"/>
      <c r="D124" s="154"/>
      <c r="E124" s="154"/>
      <c r="G124" s="154"/>
      <c r="H124" s="154"/>
      <c r="I124" s="154"/>
      <c r="J124" s="193"/>
      <c r="K124" s="193"/>
      <c r="L124" s="193"/>
      <c r="M124" s="193"/>
      <c r="N124" s="193"/>
      <c r="O124" s="193"/>
      <c r="P124" s="193"/>
      <c r="Q124" s="154"/>
      <c r="R124" s="154"/>
      <c r="S124" s="154"/>
      <c r="T124" s="154"/>
      <c r="U124" s="154"/>
      <c r="W124" s="154"/>
      <c r="X124" s="154"/>
      <c r="Y124" s="154"/>
      <c r="Z124" s="154"/>
      <c r="AA124" s="154"/>
      <c r="AE124" s="154"/>
      <c r="AF124" s="154"/>
      <c r="AG124" s="154"/>
      <c r="AH124" s="154"/>
      <c r="AI124" s="154"/>
      <c r="AJ124" s="154"/>
    </row>
    <row r="125" spans="3:42">
      <c r="D125" s="193"/>
      <c r="F125" s="219"/>
      <c r="G125" s="154" t="e">
        <f ca="1">[3]!terbilang(G117)</f>
        <v>#NAME?</v>
      </c>
      <c r="H125" s="154">
        <v>8859000</v>
      </c>
      <c r="I125" s="154" t="e">
        <f ca="1">[3]!terbilang(I117)</f>
        <v>#NAME?</v>
      </c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W125" s="154"/>
      <c r="X125" s="154"/>
      <c r="Y125" s="248" t="e">
        <f ca="1">[3]!terbilang(Y115)</f>
        <v>#NAME?</v>
      </c>
      <c r="Z125" s="154" t="s">
        <v>111</v>
      </c>
      <c r="AA125" s="154"/>
      <c r="AE125" s="154">
        <v>17329877</v>
      </c>
      <c r="AF125" s="154"/>
      <c r="AG125" s="154"/>
      <c r="AH125" s="154"/>
      <c r="AI125" s="154"/>
      <c r="AJ125" s="154"/>
    </row>
    <row r="126" spans="3:42">
      <c r="G126" s="154"/>
      <c r="H126" s="154" t="e">
        <f ca="1">[3]!terbilang(H125)</f>
        <v>#NAME?</v>
      </c>
      <c r="I126" s="193">
        <v>1089999</v>
      </c>
      <c r="J126" s="193"/>
      <c r="K126" s="193"/>
      <c r="L126" s="401" t="s">
        <v>547</v>
      </c>
      <c r="M126" s="401"/>
      <c r="N126" s="401"/>
      <c r="O126" s="154"/>
      <c r="P126" s="401" t="s">
        <v>619</v>
      </c>
      <c r="Q126" s="401"/>
      <c r="R126" s="401"/>
      <c r="S126" s="401" t="s">
        <v>627</v>
      </c>
      <c r="T126" s="401"/>
      <c r="U126" s="401"/>
      <c r="W126" s="248"/>
      <c r="X126" s="248"/>
      <c r="Y126" s="154"/>
      <c r="Z126" s="154"/>
      <c r="AA126" s="154"/>
      <c r="AE126" s="154" t="e">
        <f ca="1">[3]!terbilang(AE125)</f>
        <v>#NAME?</v>
      </c>
      <c r="AF126" s="154"/>
      <c r="AG126" s="154"/>
      <c r="AH126" s="154"/>
      <c r="AI126" s="154"/>
      <c r="AJ126" s="154"/>
    </row>
    <row r="127" spans="3:42">
      <c r="G127" s="154"/>
      <c r="H127" s="154"/>
      <c r="I127" s="154"/>
      <c r="J127" s="154"/>
      <c r="K127" s="154"/>
      <c r="L127" s="176" t="s">
        <v>230</v>
      </c>
      <c r="M127" s="176" t="s">
        <v>444</v>
      </c>
      <c r="N127" s="176" t="s">
        <v>445</v>
      </c>
      <c r="O127" s="154"/>
      <c r="P127" s="285" t="s">
        <v>230</v>
      </c>
      <c r="Q127" s="285" t="s">
        <v>444</v>
      </c>
      <c r="R127" s="285" t="s">
        <v>445</v>
      </c>
      <c r="S127" s="285" t="s">
        <v>230</v>
      </c>
      <c r="T127" s="285" t="s">
        <v>444</v>
      </c>
      <c r="U127" s="285" t="s">
        <v>445</v>
      </c>
      <c r="W127" s="154"/>
      <c r="X127" s="154"/>
      <c r="Y127" s="248" t="e">
        <f ca="1">[3]!terbilang(Y126)</f>
        <v>#NAME?</v>
      </c>
      <c r="Z127" s="248"/>
      <c r="AA127" s="154"/>
      <c r="AB127" s="154"/>
      <c r="AE127" s="154"/>
      <c r="AF127" s="154"/>
      <c r="AG127" s="154"/>
      <c r="AH127" s="154"/>
      <c r="AI127" s="154"/>
      <c r="AJ127" s="154"/>
    </row>
    <row r="128" spans="3:42">
      <c r="D128" s="193">
        <v>56628134</v>
      </c>
      <c r="E128" s="154">
        <v>11313793</v>
      </c>
      <c r="F128" s="154">
        <v>4903555261</v>
      </c>
      <c r="G128" s="154">
        <v>22883258</v>
      </c>
      <c r="H128" s="193" t="s">
        <v>111</v>
      </c>
      <c r="I128" s="154"/>
      <c r="J128" s="154"/>
      <c r="K128" s="154"/>
      <c r="L128" s="176" t="s">
        <v>548</v>
      </c>
      <c r="M128" s="176" t="s">
        <v>549</v>
      </c>
      <c r="N128" s="176">
        <v>60794473</v>
      </c>
      <c r="P128" s="176" t="s">
        <v>620</v>
      </c>
      <c r="Q128" s="176" t="s">
        <v>621</v>
      </c>
      <c r="R128" s="176">
        <v>5786000</v>
      </c>
      <c r="S128" s="176" t="s">
        <v>628</v>
      </c>
      <c r="T128" s="176" t="s">
        <v>629</v>
      </c>
      <c r="U128" s="176">
        <v>1440000</v>
      </c>
      <c r="W128" s="248"/>
      <c r="X128" s="248"/>
      <c r="Z128" s="154"/>
      <c r="AA128" s="154"/>
      <c r="AB128" s="154"/>
      <c r="AE128" s="154"/>
      <c r="AF128" s="154"/>
      <c r="AG128" s="154"/>
      <c r="AH128" s="154"/>
      <c r="AI128" s="154"/>
      <c r="AJ128" s="154"/>
    </row>
    <row r="129" spans="3:36">
      <c r="D129" s="193"/>
      <c r="E129" s="154"/>
      <c r="F129" s="154"/>
      <c r="G129" s="154"/>
      <c r="H129" s="193"/>
      <c r="I129" s="154"/>
      <c r="J129" s="154"/>
      <c r="K129" s="154"/>
      <c r="L129" s="176"/>
      <c r="M129" s="176"/>
      <c r="N129" s="176"/>
      <c r="P129" s="176" t="s">
        <v>625</v>
      </c>
      <c r="Q129" s="176" t="s">
        <v>626</v>
      </c>
      <c r="R129" s="176">
        <v>500000</v>
      </c>
      <c r="S129" s="176" t="s">
        <v>123</v>
      </c>
      <c r="T129" s="176" t="s">
        <v>630</v>
      </c>
      <c r="U129" s="176">
        <v>2620000</v>
      </c>
      <c r="W129" s="248"/>
      <c r="X129" s="248"/>
      <c r="Z129" s="154"/>
      <c r="AA129" s="154"/>
      <c r="AB129" s="154"/>
      <c r="AE129" s="154"/>
      <c r="AF129" s="154"/>
      <c r="AG129" s="154"/>
      <c r="AH129" s="154"/>
      <c r="AI129" s="154"/>
      <c r="AJ129" s="154"/>
    </row>
    <row r="130" spans="3:36">
      <c r="D130" s="193" t="e">
        <f ca="1">[3]!terbilang(D128)</f>
        <v>#NAME?</v>
      </c>
      <c r="E130" s="193" t="e">
        <f ca="1">[3]!terbilang(E128)</f>
        <v>#NAME?</v>
      </c>
      <c r="F130" s="193" t="e">
        <f ca="1">[3]!terbilang(F128)</f>
        <v>#NAME?</v>
      </c>
      <c r="G130" s="193" t="e">
        <f ca="1">[3]!terbilang(G128)</f>
        <v>#NAME?</v>
      </c>
      <c r="H130" s="193" t="e">
        <f ca="1">[3]!terbilang(H128)</f>
        <v>#NAME?</v>
      </c>
      <c r="I130" s="154"/>
      <c r="J130" s="154"/>
      <c r="K130" s="154"/>
      <c r="L130" s="176" t="s">
        <v>548</v>
      </c>
      <c r="M130" s="176" t="s">
        <v>550</v>
      </c>
      <c r="N130" s="176">
        <v>7848418</v>
      </c>
      <c r="P130" s="176" t="s">
        <v>437</v>
      </c>
      <c r="Q130" s="176" t="s">
        <v>622</v>
      </c>
      <c r="R130" s="176">
        <v>3015600</v>
      </c>
      <c r="S130" s="176" t="s">
        <v>134</v>
      </c>
      <c r="T130" s="176" t="s">
        <v>631</v>
      </c>
      <c r="U130" s="176">
        <v>4270000</v>
      </c>
      <c r="X130" s="154"/>
      <c r="Z130" s="154"/>
      <c r="AA130" s="154">
        <v>120268030</v>
      </c>
      <c r="AB130" s="154">
        <v>885016</v>
      </c>
      <c r="AC130" s="154">
        <v>475000</v>
      </c>
      <c r="AD130" s="154">
        <v>109981839</v>
      </c>
      <c r="AE130" s="154"/>
      <c r="AF130" s="154"/>
      <c r="AG130" s="154"/>
      <c r="AH130" s="154"/>
      <c r="AI130" s="154"/>
      <c r="AJ130" s="154"/>
    </row>
    <row r="131" spans="3:36">
      <c r="D131" s="193">
        <v>2867700789</v>
      </c>
      <c r="E131" s="193">
        <v>13711355</v>
      </c>
      <c r="F131" s="193">
        <v>2813544</v>
      </c>
      <c r="G131" s="193">
        <v>1144573898</v>
      </c>
      <c r="H131" s="193"/>
      <c r="I131" s="154"/>
      <c r="J131" s="154"/>
      <c r="K131" s="154"/>
      <c r="L131" s="176" t="s">
        <v>551</v>
      </c>
      <c r="M131" s="169" t="s">
        <v>552</v>
      </c>
      <c r="N131" s="176">
        <v>9685742</v>
      </c>
      <c r="P131" s="176" t="s">
        <v>623</v>
      </c>
      <c r="Q131" s="169" t="s">
        <v>624</v>
      </c>
      <c r="R131" s="176">
        <v>8643800</v>
      </c>
      <c r="S131" s="176"/>
      <c r="T131" s="169"/>
      <c r="U131" s="176"/>
      <c r="W131" s="154"/>
      <c r="X131" s="154">
        <v>30000</v>
      </c>
      <c r="Z131" s="154"/>
      <c r="AA131" s="154" t="e">
        <f ca="1">[3]!terbilang(AA130)</f>
        <v>#NAME?</v>
      </c>
      <c r="AB131" s="154" t="e">
        <f ca="1">[3]!terbilang(AB130)</f>
        <v>#NAME?</v>
      </c>
      <c r="AC131" s="154" t="e">
        <f ca="1">[3]!terbilang(AC130)</f>
        <v>#NAME?</v>
      </c>
      <c r="AD131" s="154" t="e">
        <f ca="1">[3]!terbilang(AD130)</f>
        <v>#NAME?</v>
      </c>
      <c r="AE131" s="154" t="e">
        <f ca="1">[3]!terbilang(AE130)</f>
        <v>#NAME?</v>
      </c>
      <c r="AF131" s="154"/>
      <c r="AG131" s="154"/>
      <c r="AH131" s="154"/>
      <c r="AI131" s="154"/>
      <c r="AJ131" s="154"/>
    </row>
    <row r="132" spans="3:36">
      <c r="C132" s="150"/>
      <c r="D132" s="193" t="s">
        <v>543</v>
      </c>
      <c r="E132" s="154"/>
      <c r="F132" s="154"/>
      <c r="G132" s="154"/>
      <c r="H132" s="154"/>
      <c r="I132" s="154"/>
      <c r="K132" s="193"/>
      <c r="L132" s="176" t="s">
        <v>562</v>
      </c>
      <c r="M132" s="169" t="s">
        <v>561</v>
      </c>
      <c r="N132" s="176">
        <v>7905800</v>
      </c>
      <c r="P132" s="176"/>
      <c r="Q132" s="169"/>
      <c r="R132" s="176"/>
      <c r="S132" s="176"/>
      <c r="T132" s="169"/>
      <c r="U132" s="176"/>
      <c r="W132" s="154"/>
      <c r="X132" s="154"/>
      <c r="AA132" s="154">
        <v>61413907</v>
      </c>
      <c r="AB132" s="154">
        <v>3972793561</v>
      </c>
      <c r="AC132" s="154">
        <v>1790500641</v>
      </c>
      <c r="AD132" s="154">
        <v>3552000</v>
      </c>
      <c r="AE132" s="154"/>
      <c r="AF132" s="154"/>
      <c r="AG132" s="154"/>
      <c r="AH132" s="154"/>
    </row>
    <row r="133" spans="3:36">
      <c r="C133" s="150"/>
      <c r="D133" s="193" t="s">
        <v>542</v>
      </c>
      <c r="E133" s="154"/>
      <c r="F133" s="154"/>
      <c r="G133" s="154"/>
      <c r="H133" s="154"/>
      <c r="J133" s="154"/>
      <c r="K133" s="154"/>
      <c r="L133" s="227" t="s">
        <v>563</v>
      </c>
      <c r="M133" s="192"/>
      <c r="N133" s="227">
        <f>SUM(N128:N132)</f>
        <v>86234433</v>
      </c>
      <c r="P133" s="227" t="s">
        <v>563</v>
      </c>
      <c r="Q133" s="192"/>
      <c r="R133" s="227">
        <f>SUM(R128:R132)</f>
        <v>17945400</v>
      </c>
      <c r="S133" s="227" t="s">
        <v>563</v>
      </c>
      <c r="T133" s="192"/>
      <c r="U133" s="227">
        <f>SUM(U128:U132)</f>
        <v>8330000</v>
      </c>
      <c r="W133" s="248"/>
      <c r="X133" s="248" t="e">
        <f ca="1">[3]!terbilang(X132)</f>
        <v>#NAME?</v>
      </c>
      <c r="Z133" s="154"/>
      <c r="AA133" s="154" t="e">
        <f ca="1">[3]!terbilang(AA132)</f>
        <v>#NAME?</v>
      </c>
      <c r="AB133" s="154" t="e">
        <f ca="1">[3]!terbilang(AB132)</f>
        <v>#NAME?</v>
      </c>
      <c r="AC133" s="154" t="e">
        <f ca="1">[3]!terbilang(AC132)</f>
        <v>#NAME?</v>
      </c>
      <c r="AD133" s="154" t="e">
        <f ca="1">[3]!terbilang(AD132)</f>
        <v>#NAME?</v>
      </c>
      <c r="AF133" s="154"/>
      <c r="AG133" s="154"/>
      <c r="AH133" s="154"/>
    </row>
    <row r="134" spans="3:36">
      <c r="C134" s="150"/>
      <c r="D134" s="193"/>
      <c r="E134" s="193"/>
      <c r="F134" s="193"/>
      <c r="G134" s="193"/>
      <c r="H134" s="154"/>
      <c r="J134" s="193"/>
      <c r="K134" s="193"/>
      <c r="L134" s="154"/>
      <c r="N134" s="154"/>
      <c r="P134" s="154"/>
      <c r="Q134" s="154"/>
      <c r="R134" s="154"/>
      <c r="T134" s="154"/>
      <c r="Z134" s="154" t="s">
        <v>112</v>
      </c>
      <c r="AA134" s="154">
        <v>21276666</v>
      </c>
      <c r="AB134" s="154">
        <v>7518000</v>
      </c>
      <c r="AC134" s="154" t="s">
        <v>111</v>
      </c>
      <c r="AD134" s="154"/>
      <c r="AE134" s="154"/>
      <c r="AF134" s="154"/>
      <c r="AG134" s="154"/>
      <c r="AH134" s="154"/>
    </row>
    <row r="135" spans="3:36">
      <c r="C135" s="150"/>
      <c r="D135" s="193"/>
      <c r="E135" s="154" t="s">
        <v>104</v>
      </c>
      <c r="F135" s="154">
        <v>282181644</v>
      </c>
      <c r="G135" s="154"/>
      <c r="H135" s="154"/>
      <c r="J135" s="193"/>
      <c r="K135" s="193"/>
      <c r="L135" s="154"/>
      <c r="N135" s="154"/>
      <c r="P135" s="154"/>
      <c r="Q135" s="154"/>
      <c r="R135" s="154"/>
      <c r="T135" s="154"/>
      <c r="V135" s="185"/>
      <c r="X135" s="154"/>
      <c r="Z135" s="154"/>
      <c r="AA135" s="154" t="e">
        <f ca="1">[3]!terbilang(AA134)</f>
        <v>#NAME?</v>
      </c>
      <c r="AB135" s="154" t="e">
        <f ca="1">[3]!terbilang(AB134)</f>
        <v>#NAME?</v>
      </c>
      <c r="AC135" s="154" t="e">
        <f ca="1">[3]!terbilang(AC134)</f>
        <v>#NAME?</v>
      </c>
      <c r="AD135" s="154" t="e">
        <f ca="1">[3]!terbilang(AD134)</f>
        <v>#NAME?</v>
      </c>
      <c r="AE135" s="154" t="e">
        <f ca="1">[3]!terbilang(AE134)</f>
        <v>#NAME?</v>
      </c>
      <c r="AG135" s="154"/>
      <c r="AH135" s="154"/>
    </row>
    <row r="136" spans="3:36">
      <c r="C136" s="150"/>
      <c r="D136" s="193"/>
      <c r="E136" s="193" t="s">
        <v>651</v>
      </c>
      <c r="F136" s="193">
        <v>31039981</v>
      </c>
      <c r="G136" s="193"/>
      <c r="H136" s="154"/>
      <c r="I136" s="154">
        <v>300966517</v>
      </c>
      <c r="J136" s="193"/>
      <c r="K136" s="193"/>
      <c r="N136" s="154"/>
      <c r="R136" s="185"/>
      <c r="T136" s="154">
        <v>146013961</v>
      </c>
      <c r="U136" s="154">
        <v>13087000</v>
      </c>
      <c r="V136" s="154">
        <v>35893000</v>
      </c>
      <c r="W136" s="154">
        <v>71414912</v>
      </c>
      <c r="Z136" s="154" t="s">
        <v>111</v>
      </c>
      <c r="AA136" s="154">
        <v>10350000</v>
      </c>
      <c r="AB136" s="154">
        <v>22729543</v>
      </c>
      <c r="AC136" s="154">
        <v>16303742</v>
      </c>
      <c r="AD136" s="154"/>
      <c r="AE136" s="154"/>
      <c r="AF136" s="154"/>
    </row>
    <row r="137" spans="3:36">
      <c r="C137" s="150"/>
      <c r="D137" s="193" t="s">
        <v>545</v>
      </c>
      <c r="E137" s="154" t="s">
        <v>652</v>
      </c>
      <c r="F137" s="154">
        <f>F135*15%</f>
        <v>42327246.600000001</v>
      </c>
      <c r="G137" s="154"/>
      <c r="H137" s="154">
        <v>8845339</v>
      </c>
      <c r="I137" s="154"/>
      <c r="J137" s="193"/>
      <c r="K137" s="193"/>
      <c r="N137" s="154"/>
      <c r="R137" s="185">
        <v>44545</v>
      </c>
      <c r="S137" s="150" t="s">
        <v>112</v>
      </c>
      <c r="T137" s="154" t="e">
        <f ca="1">[3]!terbilang(T136)</f>
        <v>#NAME?</v>
      </c>
      <c r="U137" s="154" t="e">
        <f ca="1">[3]!terbilang(U136)</f>
        <v>#NAME?</v>
      </c>
      <c r="V137" s="154" t="e">
        <f ca="1">[3]!terbilang(V136)</f>
        <v>#NAME?</v>
      </c>
      <c r="W137" s="154" t="e">
        <f ca="1">[3]!terbilang(W136)</f>
        <v>#NAME?</v>
      </c>
      <c r="AA137" s="154" t="e">
        <f ca="1">[3]!terbilang(AA136)</f>
        <v>#NAME?</v>
      </c>
      <c r="AB137" s="154" t="e">
        <f ca="1">[3]!terbilang(AB136)</f>
        <v>#NAME?</v>
      </c>
      <c r="AC137" s="154" t="e">
        <f ca="1">[3]!terbilang(AC136)</f>
        <v>#NAME?</v>
      </c>
      <c r="AD137" s="154" t="e">
        <f ca="1">[3]!terbilang(AD136)</f>
        <v>#NAME?</v>
      </c>
    </row>
    <row r="138" spans="3:36">
      <c r="C138" s="150"/>
      <c r="D138" s="193"/>
      <c r="E138" s="154" t="s">
        <v>653</v>
      </c>
      <c r="F138" s="154">
        <f>F135+F136-F137</f>
        <v>270894378.39999998</v>
      </c>
      <c r="G138" s="154"/>
      <c r="H138" s="154">
        <v>59202460</v>
      </c>
      <c r="I138" s="154"/>
      <c r="J138" s="193"/>
      <c r="K138" s="193"/>
      <c r="N138" s="154"/>
      <c r="R138" s="185">
        <v>44545</v>
      </c>
      <c r="T138" s="154">
        <v>2775000</v>
      </c>
      <c r="U138" s="154">
        <v>77264972</v>
      </c>
      <c r="V138" s="150">
        <v>3043960575</v>
      </c>
      <c r="W138" s="150">
        <v>2612965460</v>
      </c>
      <c r="X138" s="150">
        <v>39097062</v>
      </c>
      <c r="AA138" s="154">
        <v>5260710</v>
      </c>
      <c r="AB138" s="154">
        <v>42449921</v>
      </c>
      <c r="AC138" s="154"/>
      <c r="AD138" s="154"/>
    </row>
    <row r="139" spans="3:36">
      <c r="C139" s="150"/>
      <c r="D139" s="193"/>
      <c r="E139" s="154" t="s">
        <v>112</v>
      </c>
      <c r="F139" s="154"/>
      <c r="G139" s="154"/>
      <c r="H139" s="154">
        <v>14400000</v>
      </c>
      <c r="I139" s="154"/>
      <c r="J139" s="193"/>
      <c r="K139" s="193" t="s">
        <v>658</v>
      </c>
      <c r="T139" s="154" t="e">
        <f ca="1">[3]!terbilang(T138)</f>
        <v>#NAME?</v>
      </c>
      <c r="U139" s="154" t="e">
        <f ca="1">[3]!terbilang(U138)</f>
        <v>#NAME?</v>
      </c>
      <c r="V139" s="154" t="e">
        <f ca="1">[3]!terbilang(V138)</f>
        <v>#NAME?</v>
      </c>
      <c r="W139" s="154" t="e">
        <f ca="1">[3]!terbilang(W138)</f>
        <v>#NAME?</v>
      </c>
      <c r="X139" s="154" t="e">
        <f ca="1">[3]!terbilang(X138)</f>
        <v>#NAME?</v>
      </c>
      <c r="Y139" s="154" t="e">
        <f ca="1">[3]!terbilang(Y138)</f>
        <v>#NAME?</v>
      </c>
      <c r="AA139" s="154" t="e">
        <f ca="1">[3]!terbilang(AA138)</f>
        <v>#NAME?</v>
      </c>
      <c r="AB139" s="154" t="e">
        <f ca="1">[3]!terbilang(AB138)</f>
        <v>#NAME?</v>
      </c>
      <c r="AC139" s="154" t="e">
        <f ca="1">[3]!terbilang(AC138)</f>
        <v>#NAME?</v>
      </c>
      <c r="AD139" s="154"/>
    </row>
    <row r="140" spans="3:36">
      <c r="C140" s="150"/>
      <c r="D140" s="193"/>
      <c r="E140" s="154"/>
      <c r="F140" s="154"/>
      <c r="G140" s="154"/>
      <c r="H140" s="154"/>
      <c r="I140" s="154"/>
      <c r="J140" s="193"/>
      <c r="K140" s="193"/>
      <c r="T140" s="154"/>
      <c r="U140" s="154">
        <v>900000</v>
      </c>
      <c r="V140" s="154">
        <v>26564276</v>
      </c>
      <c r="W140" s="154">
        <v>14544781</v>
      </c>
      <c r="X140" s="154">
        <v>60445323</v>
      </c>
      <c r="Y140" s="154">
        <v>99250443</v>
      </c>
      <c r="AA140" s="154"/>
      <c r="AB140" s="154"/>
      <c r="AC140" s="154"/>
      <c r="AD140" s="154"/>
    </row>
    <row r="141" spans="3:36">
      <c r="C141" s="150"/>
      <c r="D141" s="193"/>
      <c r="E141" s="154"/>
      <c r="F141" s="154"/>
      <c r="G141" s="154"/>
      <c r="H141" s="154"/>
      <c r="I141" s="154"/>
      <c r="J141" s="193"/>
      <c r="K141" s="193"/>
      <c r="T141" s="154"/>
      <c r="U141" s="154" t="e">
        <f ca="1">[3]!terbilang(U140)</f>
        <v>#NAME?</v>
      </c>
      <c r="V141" s="154" t="e">
        <f ca="1">[3]!terbilang(V140)</f>
        <v>#NAME?</v>
      </c>
      <c r="W141" s="154" t="e">
        <f ca="1">[3]!terbilang(W140)</f>
        <v>#NAME?</v>
      </c>
      <c r="X141" s="154" t="e">
        <f ca="1">[3]!terbilang(X140)</f>
        <v>#NAME?</v>
      </c>
      <c r="Y141" s="154" t="e">
        <f ca="1">[3]!terbilang(Y140)</f>
        <v>#NAME?</v>
      </c>
      <c r="AA141" s="154"/>
      <c r="AB141" s="154"/>
      <c r="AC141" s="154"/>
      <c r="AD141" s="154"/>
    </row>
    <row r="142" spans="3:36">
      <c r="C142" s="150"/>
      <c r="D142" s="193"/>
      <c r="E142" s="154"/>
      <c r="F142" s="154"/>
      <c r="G142" s="154"/>
      <c r="H142" s="154"/>
      <c r="I142" s="154"/>
      <c r="J142" s="193"/>
      <c r="K142" s="193"/>
      <c r="T142" s="154"/>
      <c r="U142" s="154">
        <v>32027156</v>
      </c>
      <c r="V142" s="154">
        <v>46748378</v>
      </c>
      <c r="W142" s="154"/>
      <c r="X142" s="154"/>
      <c r="Y142" s="154"/>
      <c r="AA142" s="154"/>
      <c r="AB142" s="154"/>
      <c r="AC142" s="154"/>
      <c r="AD142" s="154"/>
    </row>
    <row r="143" spans="3:36">
      <c r="C143" s="150"/>
      <c r="D143" s="193"/>
      <c r="E143" s="193"/>
      <c r="F143" s="193" t="s">
        <v>111</v>
      </c>
      <c r="G143" s="193"/>
      <c r="H143" s="154">
        <v>9735803</v>
      </c>
      <c r="I143" s="154"/>
      <c r="R143" s="185"/>
      <c r="U143" s="154" t="e">
        <f ca="1">[3]!terbilang(U142)</f>
        <v>#NAME?</v>
      </c>
      <c r="V143" s="154" t="e">
        <f ca="1">[3]!terbilang(V142)</f>
        <v>#NAME?</v>
      </c>
      <c r="W143" s="154" t="e">
        <f ca="1">[3]!terbilang(W142)</f>
        <v>#NAME?</v>
      </c>
      <c r="X143" s="154" t="e">
        <f ca="1">[3]!terbilang(X142)</f>
        <v>#NAME?</v>
      </c>
      <c r="Y143" s="154" t="e">
        <f ca="1">[3]!terbilang(Y142)</f>
        <v>#NAME?</v>
      </c>
      <c r="AA143" s="150" t="s">
        <v>111</v>
      </c>
      <c r="AB143" s="150" t="s">
        <v>111</v>
      </c>
      <c r="AD143" s="154"/>
    </row>
    <row r="144" spans="3:36">
      <c r="C144" s="150"/>
      <c r="D144" s="193">
        <v>55687323</v>
      </c>
      <c r="E144" s="154">
        <v>38649240</v>
      </c>
      <c r="F144" s="154">
        <v>155598458</v>
      </c>
      <c r="G144" s="154">
        <v>3757161272</v>
      </c>
      <c r="H144" s="154">
        <v>102022038</v>
      </c>
      <c r="I144" s="154"/>
      <c r="P144" s="154">
        <v>106405029</v>
      </c>
      <c r="Q144" s="154">
        <v>1770090</v>
      </c>
      <c r="R144" s="154">
        <v>5804541</v>
      </c>
      <c r="S144" s="154">
        <v>1684952150</v>
      </c>
      <c r="T144" s="154" t="e">
        <f ca="1">[3]!terbilang(T143)</f>
        <v>#NAME?</v>
      </c>
      <c r="U144" s="154" t="e">
        <f ca="1">[3]!terbilang(U143)</f>
        <v>#NAME?</v>
      </c>
      <c r="V144" s="154" t="e">
        <f ca="1">[3]!terbilang(V143)</f>
        <v>#NAME?</v>
      </c>
      <c r="W144" s="154" t="e">
        <f ca="1">[3]!terbilang(W143)</f>
        <v>#NAME?</v>
      </c>
      <c r="X144" s="154" t="e">
        <f ca="1">[3]!terbilang(X143)</f>
        <v>#NAME?</v>
      </c>
      <c r="Y144" s="154" t="e">
        <f ca="1">[3]!terbilang(Y143)</f>
        <v>#NAME?</v>
      </c>
      <c r="AA144" s="154"/>
      <c r="AB144" s="154"/>
      <c r="AC144" s="154"/>
    </row>
    <row r="145" spans="2:31">
      <c r="C145" s="150"/>
      <c r="D145" s="193" t="e">
        <f ca="1">[3]!terbilang(D144)</f>
        <v>#NAME?</v>
      </c>
      <c r="E145" s="193" t="e">
        <f ca="1">[3]!terbilang(E144)</f>
        <v>#NAME?</v>
      </c>
      <c r="F145" s="193" t="e">
        <f ca="1">[3]!terbilang(F144)</f>
        <v>#NAME?</v>
      </c>
      <c r="G145" s="193" t="e">
        <f ca="1">[3]!terbilang(G144)</f>
        <v>#NAME?</v>
      </c>
      <c r="H145" s="154">
        <v>43801144</v>
      </c>
      <c r="I145" s="154"/>
      <c r="P145" s="154" t="e">
        <f ca="1">[3]!terbilang(P144)</f>
        <v>#NAME?</v>
      </c>
      <c r="Q145" s="154" t="e">
        <f ca="1">[3]!terbilang(Q144)</f>
        <v>#NAME?</v>
      </c>
      <c r="R145" s="154" t="e">
        <f ca="1">[3]!terbilang(R144)</f>
        <v>#NAME?</v>
      </c>
      <c r="S145" s="154" t="s">
        <v>89</v>
      </c>
      <c r="T145" s="154"/>
      <c r="AD145" s="154"/>
    </row>
    <row r="146" spans="2:31">
      <c r="C146" s="150"/>
      <c r="D146" s="193">
        <v>21708043</v>
      </c>
      <c r="E146" s="154"/>
      <c r="F146" s="154"/>
      <c r="G146" s="154"/>
      <c r="H146" s="154">
        <v>408494</v>
      </c>
      <c r="I146" s="154"/>
      <c r="P146" s="154">
        <v>150595511</v>
      </c>
      <c r="Q146" s="154">
        <v>2440313587</v>
      </c>
      <c r="R146" s="154">
        <v>10303546</v>
      </c>
      <c r="S146" s="154">
        <v>1968385823</v>
      </c>
      <c r="T146" s="154"/>
      <c r="Y146" s="154"/>
      <c r="Z146" s="154"/>
      <c r="AA146" s="154"/>
      <c r="AB146" s="154"/>
      <c r="AC146" s="154"/>
    </row>
    <row r="147" spans="2:31">
      <c r="C147" s="150"/>
      <c r="D147" s="193">
        <v>2398726114</v>
      </c>
      <c r="E147" s="154">
        <v>2490573319</v>
      </c>
      <c r="F147" s="154">
        <v>989583824</v>
      </c>
      <c r="G147" s="154">
        <v>6074945</v>
      </c>
      <c r="H147" s="154"/>
      <c r="I147" s="154">
        <f>SUM(H137:H146)</f>
        <v>238415278</v>
      </c>
      <c r="P147" s="154" t="e">
        <f ca="1">[3]!terbilang(P146)</f>
        <v>#NAME?</v>
      </c>
      <c r="Q147" s="154" t="e">
        <f ca="1">[3]!terbilang(Q146)</f>
        <v>#NAME?</v>
      </c>
      <c r="R147" s="154" t="e">
        <f ca="1">[3]!terbilang(R146)</f>
        <v>#NAME?</v>
      </c>
      <c r="S147" s="154" t="e">
        <f ca="1">[3]!terbilang(S146)</f>
        <v>#NAME?</v>
      </c>
      <c r="T147" s="154"/>
      <c r="Y147" s="154"/>
      <c r="Z147" s="154"/>
      <c r="AB147" s="154"/>
      <c r="AC147" s="154"/>
      <c r="AD147" s="154"/>
    </row>
    <row r="148" spans="2:31">
      <c r="C148" s="150"/>
      <c r="D148" s="193" t="e">
        <f ca="1">[3]!terbilang(D147)</f>
        <v>#NAME?</v>
      </c>
      <c r="E148" s="193" t="e">
        <f ca="1">[3]!terbilang(E147)</f>
        <v>#NAME?</v>
      </c>
      <c r="F148" s="193" t="e">
        <f ca="1">[3]!terbilang(F147)</f>
        <v>#NAME?</v>
      </c>
      <c r="G148" s="193" t="e">
        <f ca="1">[3]!terbilang(G147)</f>
        <v>#NAME?</v>
      </c>
      <c r="H148" s="154"/>
      <c r="I148" s="154"/>
      <c r="J148" s="218">
        <f>I136-I147</f>
        <v>62551239</v>
      </c>
      <c r="P148" s="154">
        <v>9295155</v>
      </c>
      <c r="Q148" s="154">
        <v>1969166226</v>
      </c>
      <c r="R148" s="154">
        <v>8833898</v>
      </c>
      <c r="S148" s="154">
        <v>1678000</v>
      </c>
      <c r="T148" s="154"/>
      <c r="Y148" s="154"/>
      <c r="Z148" s="154"/>
      <c r="AA148" s="154"/>
      <c r="AB148" s="154"/>
      <c r="AC148" s="154"/>
      <c r="AD148" s="154" t="s">
        <v>111</v>
      </c>
    </row>
    <row r="149" spans="2:31">
      <c r="C149" s="150"/>
      <c r="D149" s="154"/>
      <c r="E149" s="154"/>
      <c r="F149" s="154"/>
      <c r="G149" s="154"/>
      <c r="H149" s="154"/>
      <c r="I149" s="154"/>
      <c r="P149" s="154" t="e">
        <f ca="1">[3]!terbilang(P148)</f>
        <v>#NAME?</v>
      </c>
      <c r="Q149" s="154" t="e">
        <f ca="1">[3]!terbilang(Q148)</f>
        <v>#NAME?</v>
      </c>
      <c r="R149" s="154" t="e">
        <f ca="1">[3]!terbilang(R148)</f>
        <v>#NAME?</v>
      </c>
      <c r="S149" s="154" t="e">
        <f ca="1">[3]!terbilang(S148)</f>
        <v>#NAME?</v>
      </c>
      <c r="T149" s="154"/>
      <c r="Y149" s="154"/>
      <c r="Z149" s="154"/>
      <c r="AA149" s="154"/>
      <c r="AB149" s="154"/>
      <c r="AC149" s="154"/>
      <c r="AD149" s="154"/>
    </row>
    <row r="150" spans="2:31">
      <c r="C150" s="150"/>
      <c r="D150" s="154"/>
      <c r="E150" s="154"/>
      <c r="F150" s="154"/>
      <c r="G150" s="154"/>
      <c r="H150" s="154"/>
      <c r="I150" s="154"/>
      <c r="P150" s="154"/>
      <c r="Q150" s="154">
        <v>3689932926</v>
      </c>
      <c r="R150" s="154"/>
      <c r="S150" s="154"/>
      <c r="T150" s="154"/>
      <c r="Y150" s="154"/>
      <c r="Z150" s="154"/>
      <c r="AA150" s="154"/>
      <c r="AB150" s="154"/>
      <c r="AC150" s="154"/>
      <c r="AD150" s="154"/>
    </row>
    <row r="151" spans="2:31">
      <c r="C151" s="150"/>
      <c r="D151" s="193"/>
      <c r="E151" s="193"/>
      <c r="F151" s="193"/>
      <c r="G151" s="193"/>
      <c r="H151" s="154"/>
      <c r="I151" s="154"/>
      <c r="P151" s="154">
        <v>4424000</v>
      </c>
      <c r="Q151" s="154">
        <v>4424000</v>
      </c>
      <c r="R151" s="154" t="e">
        <f ca="1">[3]!terbilang(R150)</f>
        <v>#NAME?</v>
      </c>
      <c r="S151" s="154" t="e">
        <f ca="1">[3]!terbilang(S150)</f>
        <v>#NAME?</v>
      </c>
      <c r="T151" s="154"/>
      <c r="Y151" s="154"/>
      <c r="Z151" s="154"/>
      <c r="AA151" s="154"/>
      <c r="AB151" s="154"/>
      <c r="AC151" s="154"/>
      <c r="AD151" s="154"/>
    </row>
    <row r="152" spans="2:31">
      <c r="C152" s="150"/>
      <c r="D152" s="154"/>
      <c r="E152" s="154"/>
      <c r="F152" s="154"/>
      <c r="G152" s="154"/>
      <c r="H152" s="154"/>
      <c r="J152" s="150"/>
      <c r="K152" s="150"/>
      <c r="P152" s="154">
        <v>4424000</v>
      </c>
      <c r="Q152" s="154">
        <v>11751036</v>
      </c>
      <c r="R152" s="154">
        <v>3015600</v>
      </c>
      <c r="S152" s="154">
        <v>600739</v>
      </c>
      <c r="T152" s="154"/>
      <c r="Y152" s="154"/>
      <c r="Z152" s="154"/>
      <c r="AA152" s="154"/>
      <c r="AB152" s="154"/>
      <c r="AC152" s="154"/>
      <c r="AD152" s="154">
        <v>1870843551</v>
      </c>
      <c r="AE152" s="154"/>
    </row>
    <row r="153" spans="2:31">
      <c r="C153" s="150"/>
      <c r="D153" s="193"/>
      <c r="E153" s="193"/>
      <c r="F153" s="193"/>
      <c r="G153" s="193"/>
      <c r="J153" s="150"/>
      <c r="K153" s="150"/>
      <c r="P153" s="154" t="e">
        <f ca="1">[3]!terbilang(P152)</f>
        <v>#NAME?</v>
      </c>
      <c r="Q153" s="154" t="e">
        <f ca="1">[3]!terbilang(Q152)</f>
        <v>#NAME?</v>
      </c>
      <c r="R153" s="154" t="e">
        <f ca="1">[3]!terbilang(R152)</f>
        <v>#NAME?</v>
      </c>
      <c r="S153" s="154" t="e">
        <f ca="1">[3]!terbilang(S152)</f>
        <v>#NAME?</v>
      </c>
      <c r="T153" s="154"/>
      <c r="Y153" s="154"/>
      <c r="Z153" s="154"/>
      <c r="AA153" s="154"/>
      <c r="AB153" s="154"/>
      <c r="AC153" s="154"/>
      <c r="AD153" s="154" t="e">
        <f ca="1">[3]!terbilang(AD152)</f>
        <v>#NAME?</v>
      </c>
      <c r="AE153" s="154"/>
    </row>
    <row r="154" spans="2:31">
      <c r="C154" s="150"/>
      <c r="D154" s="154"/>
      <c r="E154" s="154"/>
      <c r="F154" s="154"/>
      <c r="G154" s="154"/>
      <c r="H154" s="154"/>
      <c r="J154" s="150"/>
      <c r="K154" s="150"/>
      <c r="P154" s="154">
        <v>1030905</v>
      </c>
      <c r="Q154" s="154">
        <v>756000</v>
      </c>
      <c r="R154" s="154">
        <v>42212300</v>
      </c>
      <c r="S154" s="154">
        <v>9467700</v>
      </c>
      <c r="T154" s="154"/>
      <c r="Y154" s="154"/>
      <c r="Z154" s="154"/>
      <c r="AA154" s="154"/>
      <c r="AB154" s="154"/>
      <c r="AC154" s="154"/>
      <c r="AD154" s="154"/>
      <c r="AE154" s="154"/>
    </row>
    <row r="155" spans="2:31">
      <c r="C155" s="150"/>
      <c r="D155" s="193"/>
      <c r="E155" s="193"/>
      <c r="F155" s="193"/>
      <c r="G155" s="193"/>
      <c r="H155" s="193"/>
      <c r="J155" s="150"/>
      <c r="K155" s="150"/>
      <c r="P155" s="154" t="e">
        <f ca="1">[3]!terbilang(P154)</f>
        <v>#NAME?</v>
      </c>
      <c r="Q155" s="154" t="e">
        <f ca="1">[3]!terbilang(Q154)</f>
        <v>#NAME?</v>
      </c>
      <c r="R155" s="154" t="e">
        <f ca="1">[3]!terbilang(R154)</f>
        <v>#NAME?</v>
      </c>
      <c r="S155" s="154" t="e">
        <f ca="1">[3]!terbilang(S154)</f>
        <v>#NAME?</v>
      </c>
      <c r="Y155" s="154"/>
      <c r="Z155" s="154"/>
      <c r="AA155" s="154"/>
      <c r="AB155" s="154"/>
      <c r="AC155" s="154"/>
      <c r="AD155" s="154" t="e">
        <f ca="1">[3]!terbilang(AD154)</f>
        <v>#NAME?</v>
      </c>
      <c r="AE155" s="154"/>
    </row>
    <row r="156" spans="2:31">
      <c r="D156" s="193"/>
      <c r="E156" s="154"/>
      <c r="F156" s="154"/>
      <c r="G156" s="154"/>
      <c r="J156" s="150"/>
      <c r="K156" s="150"/>
      <c r="P156" s="154"/>
      <c r="R156" s="154"/>
      <c r="AD156" s="154"/>
      <c r="AE156" s="154"/>
    </row>
    <row r="157" spans="2:31">
      <c r="D157" s="193"/>
      <c r="E157" s="154"/>
      <c r="F157" s="154"/>
      <c r="G157" s="154"/>
      <c r="J157" s="150"/>
      <c r="K157" s="150"/>
      <c r="P157" s="154"/>
      <c r="R157" s="154"/>
    </row>
    <row r="158" spans="2:31">
      <c r="B158" s="150" t="s">
        <v>666</v>
      </c>
      <c r="C158" s="150"/>
      <c r="D158" s="154"/>
      <c r="E158" s="154"/>
      <c r="F158" s="154"/>
      <c r="G158" s="154"/>
      <c r="J158" s="150"/>
      <c r="K158" s="150"/>
      <c r="P158" s="154"/>
      <c r="Q158" s="154">
        <v>2722753720</v>
      </c>
      <c r="R158" s="154"/>
      <c r="S158" s="154"/>
      <c r="X158" s="154"/>
      <c r="AA158" s="154"/>
      <c r="AB158" s="154"/>
      <c r="AC158" s="154"/>
    </row>
    <row r="159" spans="2:31">
      <c r="C159" s="150"/>
      <c r="D159" s="154"/>
      <c r="E159" s="154"/>
      <c r="F159" s="154"/>
      <c r="G159" s="154"/>
      <c r="J159" s="150"/>
      <c r="K159" s="150"/>
      <c r="P159" s="154"/>
      <c r="Q159" s="154"/>
      <c r="R159" s="154"/>
      <c r="S159" s="154"/>
      <c r="X159" s="154"/>
      <c r="AA159" s="154"/>
      <c r="AB159" s="154"/>
      <c r="AC159" s="154"/>
    </row>
    <row r="160" spans="2:31">
      <c r="B160" s="150" t="s">
        <v>667</v>
      </c>
      <c r="C160" s="150"/>
      <c r="D160" s="150"/>
      <c r="J160" s="150"/>
      <c r="K160" s="150"/>
      <c r="P160" s="154"/>
      <c r="Q160" s="154"/>
      <c r="R160" s="154">
        <v>877014107</v>
      </c>
      <c r="S160" s="154"/>
      <c r="X160" s="154"/>
      <c r="AA160" s="154"/>
      <c r="AB160" s="154"/>
      <c r="AC160" s="154"/>
    </row>
    <row r="161" spans="3:29">
      <c r="C161" s="150"/>
      <c r="D161" s="154"/>
      <c r="E161" s="154"/>
      <c r="F161" s="154"/>
      <c r="G161" s="154"/>
      <c r="P161" s="154"/>
      <c r="Q161" s="154"/>
      <c r="R161" s="154">
        <v>3605000</v>
      </c>
      <c r="S161" s="154"/>
      <c r="X161" s="154"/>
      <c r="AA161" s="154"/>
      <c r="AB161" s="154"/>
      <c r="AC161" s="154"/>
    </row>
    <row r="162" spans="3:29">
      <c r="C162" s="150"/>
      <c r="D162" s="193"/>
      <c r="E162" s="193"/>
      <c r="F162" s="193"/>
      <c r="G162" s="193"/>
      <c r="P162" s="154"/>
      <c r="Q162" s="154"/>
      <c r="R162" s="154">
        <v>2550000</v>
      </c>
      <c r="S162" s="154"/>
      <c r="W162" s="154"/>
      <c r="X162" s="154"/>
      <c r="AA162" s="154"/>
      <c r="AB162" s="154"/>
      <c r="AC162" s="154"/>
    </row>
    <row r="163" spans="3:29">
      <c r="C163" s="150"/>
      <c r="D163" s="150"/>
      <c r="J163" s="150"/>
      <c r="K163" s="150"/>
      <c r="P163" s="154"/>
      <c r="Q163" s="154"/>
      <c r="R163" s="154">
        <v>10000000</v>
      </c>
      <c r="S163" s="154"/>
      <c r="X163" s="154"/>
      <c r="AA163" s="154"/>
      <c r="AB163" s="154"/>
      <c r="AC163" s="154"/>
    </row>
    <row r="164" spans="3:29">
      <c r="C164" s="150"/>
      <c r="D164" s="150"/>
      <c r="J164" s="150"/>
      <c r="K164" s="150"/>
      <c r="P164" s="154"/>
      <c r="Q164" s="154"/>
      <c r="R164" s="154">
        <v>1320000</v>
      </c>
      <c r="S164" s="154"/>
      <c r="X164" s="154"/>
      <c r="AA164" s="154"/>
      <c r="AB164" s="154"/>
      <c r="AC164" s="154"/>
    </row>
    <row r="165" spans="3:29">
      <c r="C165" s="150"/>
      <c r="D165" s="150"/>
      <c r="E165" s="245">
        <f>C165+D165</f>
        <v>0</v>
      </c>
      <c r="F165" s="241">
        <v>151858375</v>
      </c>
      <c r="I165" s="150" t="s">
        <v>111</v>
      </c>
      <c r="J165" s="150"/>
      <c r="K165" s="150"/>
      <c r="P165" s="154"/>
      <c r="Q165" s="154"/>
      <c r="R165" s="154">
        <v>1013543</v>
      </c>
      <c r="S165" s="154"/>
      <c r="X165" s="154"/>
      <c r="AA165" s="154"/>
      <c r="AB165" s="154"/>
      <c r="AC165" s="154"/>
    </row>
    <row r="166" spans="3:29">
      <c r="C166" s="150"/>
      <c r="D166" s="150"/>
      <c r="E166" s="245">
        <f t="shared" ref="E166:E187" si="4">C166+D166</f>
        <v>0</v>
      </c>
      <c r="F166" s="241">
        <v>151858375</v>
      </c>
      <c r="J166" s="150"/>
      <c r="K166" s="150"/>
      <c r="P166" s="154"/>
      <c r="Q166" s="154"/>
      <c r="R166" s="154">
        <v>1042324</v>
      </c>
      <c r="S166" s="154"/>
      <c r="X166" s="154"/>
      <c r="AA166" s="154"/>
      <c r="AB166" s="154"/>
      <c r="AC166" s="154"/>
    </row>
    <row r="167" spans="3:29">
      <c r="C167" s="150"/>
      <c r="D167" s="150"/>
      <c r="E167" s="245">
        <f t="shared" si="4"/>
        <v>0</v>
      </c>
      <c r="F167" s="241">
        <v>15635402</v>
      </c>
      <c r="J167" s="150"/>
      <c r="K167" s="150"/>
      <c r="Q167" s="154"/>
      <c r="R167" s="154">
        <v>356740</v>
      </c>
      <c r="S167" s="154"/>
      <c r="X167" s="154"/>
      <c r="AA167" s="154"/>
      <c r="AB167" s="154"/>
      <c r="AC167" s="154"/>
    </row>
    <row r="168" spans="3:29">
      <c r="C168" s="150"/>
      <c r="D168" s="150"/>
      <c r="E168" s="245"/>
      <c r="F168" s="241"/>
      <c r="J168" s="150"/>
      <c r="K168" s="150"/>
      <c r="Q168" s="154"/>
      <c r="R168" s="154">
        <f>1444898479+10476291</f>
        <v>1455374770</v>
      </c>
      <c r="S168" s="154"/>
      <c r="X168" s="154"/>
      <c r="AA168" s="154"/>
      <c r="AB168" s="154"/>
      <c r="AC168" s="154"/>
    </row>
    <row r="169" spans="3:29">
      <c r="C169" s="150"/>
      <c r="D169" s="150"/>
      <c r="E169" s="245">
        <f t="shared" si="4"/>
        <v>0</v>
      </c>
      <c r="F169" s="241">
        <v>417819202</v>
      </c>
      <c r="J169" s="150"/>
      <c r="K169" s="150"/>
      <c r="Q169" s="154"/>
      <c r="R169" s="154">
        <v>142000000</v>
      </c>
      <c r="S169" s="154"/>
      <c r="X169" s="154"/>
      <c r="AA169" s="154"/>
      <c r="AB169" s="154"/>
      <c r="AC169" s="154"/>
    </row>
    <row r="170" spans="3:29">
      <c r="C170" s="150"/>
      <c r="D170" s="150"/>
      <c r="E170" s="245"/>
      <c r="F170" s="241"/>
      <c r="J170" s="150"/>
      <c r="K170" s="150"/>
      <c r="Q170" s="154"/>
      <c r="R170" s="154">
        <v>130000000</v>
      </c>
      <c r="S170" s="154"/>
      <c r="X170" s="154"/>
      <c r="AA170" s="154"/>
      <c r="AB170" s="154"/>
      <c r="AC170" s="154"/>
    </row>
    <row r="171" spans="3:29">
      <c r="C171" s="150"/>
      <c r="D171" s="150"/>
      <c r="E171" s="245"/>
      <c r="F171" s="241"/>
      <c r="J171" s="150"/>
      <c r="K171" s="150"/>
      <c r="Q171" s="154"/>
      <c r="R171" s="154"/>
      <c r="S171" s="154"/>
      <c r="X171" s="154"/>
      <c r="AA171" s="154"/>
      <c r="AB171" s="154"/>
      <c r="AC171" s="154"/>
    </row>
    <row r="172" spans="3:29">
      <c r="C172" s="150"/>
      <c r="D172" s="150"/>
      <c r="E172" s="245"/>
      <c r="F172" s="241"/>
      <c r="J172" s="150"/>
      <c r="K172" s="150"/>
      <c r="Q172" s="154"/>
      <c r="R172" s="154"/>
      <c r="S172" s="154"/>
      <c r="X172" s="154"/>
      <c r="AA172" s="154"/>
      <c r="AB172" s="154"/>
      <c r="AC172" s="154"/>
    </row>
    <row r="173" spans="3:29">
      <c r="E173" s="245">
        <f t="shared" si="4"/>
        <v>0</v>
      </c>
      <c r="F173" s="241">
        <v>8266215</v>
      </c>
      <c r="J173" s="150"/>
      <c r="K173" s="150"/>
      <c r="Q173" s="154"/>
      <c r="R173" s="154">
        <f>SUM(R160:R170)</f>
        <v>2624276484</v>
      </c>
      <c r="S173" s="154"/>
    </row>
    <row r="174" spans="3:29">
      <c r="E174" s="245">
        <f t="shared" si="4"/>
        <v>0</v>
      </c>
      <c r="F174" s="241">
        <v>8266215</v>
      </c>
      <c r="J174" s="150"/>
      <c r="K174" s="150"/>
      <c r="Q174" s="154"/>
      <c r="R174" s="154"/>
      <c r="S174" s="154"/>
    </row>
    <row r="175" spans="3:29">
      <c r="E175" s="245">
        <f t="shared" si="4"/>
        <v>0</v>
      </c>
      <c r="F175" s="242">
        <v>42795328</v>
      </c>
      <c r="J175" s="150"/>
      <c r="K175" s="150"/>
      <c r="Q175" s="154">
        <f>Q158-R173</f>
        <v>98477236</v>
      </c>
      <c r="R175" s="154"/>
      <c r="S175" s="154"/>
    </row>
    <row r="176" spans="3:29">
      <c r="C176" s="150"/>
      <c r="D176" s="150"/>
      <c r="E176" s="245">
        <f t="shared" si="4"/>
        <v>0</v>
      </c>
      <c r="F176" s="241">
        <v>26265232</v>
      </c>
      <c r="J176" s="150"/>
      <c r="K176" s="150"/>
      <c r="Q176" s="154"/>
      <c r="R176" s="154"/>
      <c r="S176" s="154"/>
    </row>
    <row r="177" spans="3:19">
      <c r="C177" s="150"/>
      <c r="D177" s="150"/>
      <c r="E177" s="245">
        <f t="shared" si="4"/>
        <v>0</v>
      </c>
      <c r="F177" s="242">
        <v>26265232</v>
      </c>
      <c r="I177" s="150" t="s">
        <v>112</v>
      </c>
      <c r="Q177" s="154"/>
      <c r="R177" s="154"/>
      <c r="S177" s="154"/>
    </row>
    <row r="178" spans="3:19">
      <c r="C178" s="150"/>
      <c r="D178" s="150"/>
      <c r="E178" s="245">
        <f t="shared" si="4"/>
        <v>0</v>
      </c>
      <c r="F178" s="242">
        <v>199624868</v>
      </c>
      <c r="Q178" s="154"/>
      <c r="R178" s="154"/>
      <c r="S178" s="154"/>
    </row>
    <row r="179" spans="3:19">
      <c r="C179" s="150"/>
      <c r="D179" s="150"/>
      <c r="E179" s="245">
        <f t="shared" si="4"/>
        <v>0</v>
      </c>
      <c r="F179" s="241">
        <v>19684245</v>
      </c>
    </row>
    <row r="180" spans="3:19">
      <c r="C180" s="150"/>
      <c r="D180" s="150"/>
      <c r="E180" s="245">
        <f t="shared" si="4"/>
        <v>0</v>
      </c>
      <c r="F180" s="241">
        <v>77905425</v>
      </c>
      <c r="J180" s="150"/>
      <c r="K180" s="150"/>
    </row>
    <row r="181" spans="3:19">
      <c r="C181" s="150"/>
      <c r="D181" s="150"/>
      <c r="E181" s="245">
        <f t="shared" si="4"/>
        <v>0</v>
      </c>
      <c r="F181" s="241">
        <v>4441476</v>
      </c>
      <c r="J181" s="150"/>
      <c r="K181" s="150"/>
    </row>
    <row r="182" spans="3:19">
      <c r="C182" s="150"/>
      <c r="D182" s="150"/>
      <c r="E182" s="245">
        <f t="shared" si="4"/>
        <v>0</v>
      </c>
      <c r="F182" s="241">
        <v>4266433</v>
      </c>
      <c r="J182" s="150"/>
      <c r="K182" s="150"/>
    </row>
    <row r="183" spans="3:19">
      <c r="C183" s="150"/>
      <c r="D183" s="150"/>
      <c r="E183" s="245">
        <f t="shared" si="4"/>
        <v>0</v>
      </c>
      <c r="F183" s="241">
        <v>852429</v>
      </c>
      <c r="J183" s="150"/>
      <c r="K183" s="150"/>
    </row>
    <row r="184" spans="3:19">
      <c r="C184" s="150"/>
      <c r="D184" s="150"/>
      <c r="E184" s="245">
        <f t="shared" si="4"/>
        <v>0</v>
      </c>
      <c r="F184" s="241">
        <v>852429</v>
      </c>
      <c r="H184" s="154"/>
      <c r="J184" s="150"/>
      <c r="K184" s="150"/>
    </row>
    <row r="185" spans="3:19">
      <c r="C185" s="150"/>
      <c r="D185" s="150"/>
      <c r="E185" s="245">
        <f t="shared" si="4"/>
        <v>0</v>
      </c>
      <c r="F185" s="242">
        <v>112121856</v>
      </c>
      <c r="H185" s="154"/>
      <c r="J185" s="150"/>
      <c r="K185" s="150"/>
    </row>
    <row r="186" spans="3:19">
      <c r="C186" s="150"/>
      <c r="D186" s="150"/>
      <c r="E186" s="245">
        <f t="shared" si="4"/>
        <v>0</v>
      </c>
      <c r="F186" s="241">
        <v>95897725</v>
      </c>
      <c r="H186" s="154"/>
      <c r="J186" s="150"/>
      <c r="K186" s="150"/>
    </row>
    <row r="187" spans="3:19">
      <c r="C187" s="150"/>
      <c r="D187" s="150"/>
      <c r="E187" s="245">
        <f t="shared" si="4"/>
        <v>0</v>
      </c>
      <c r="F187" s="242">
        <v>611033945</v>
      </c>
      <c r="H187" s="154"/>
      <c r="J187" s="150"/>
      <c r="K187" s="150"/>
    </row>
    <row r="188" spans="3:19">
      <c r="C188" s="150"/>
      <c r="D188" s="150"/>
      <c r="F188" s="243"/>
      <c r="H188" s="154"/>
      <c r="J188" s="150"/>
      <c r="K188" s="150"/>
    </row>
    <row r="189" spans="3:19">
      <c r="H189" s="193" t="e">
        <f ca="1">[3]!terbilang(H188)</f>
        <v>#NAME?</v>
      </c>
      <c r="J189" s="150"/>
      <c r="K189" s="150"/>
    </row>
    <row r="190" spans="3:19">
      <c r="D190" s="193">
        <v>97846397</v>
      </c>
      <c r="E190" s="154">
        <v>2865371212</v>
      </c>
      <c r="F190" s="154">
        <v>89668307</v>
      </c>
      <c r="G190" s="154">
        <v>140646841</v>
      </c>
      <c r="H190" s="154"/>
      <c r="J190" s="150"/>
      <c r="K190" s="150"/>
    </row>
    <row r="191" spans="3:19">
      <c r="D191" s="193"/>
      <c r="E191" s="154"/>
      <c r="F191" s="154"/>
      <c r="G191" s="154"/>
      <c r="H191" s="154"/>
      <c r="J191" s="150"/>
      <c r="K191" s="150"/>
    </row>
    <row r="192" spans="3:19">
      <c r="D192" s="182" t="e">
        <f ca="1">[3]!terbilang(D190)</f>
        <v>#NAME?</v>
      </c>
      <c r="E192" s="193" t="e">
        <f ca="1">[3]!terbilang(E190)</f>
        <v>#NAME?</v>
      </c>
      <c r="F192" s="193" t="e">
        <f ca="1">[3]!terbilang(F190)</f>
        <v>#NAME?</v>
      </c>
      <c r="G192" s="193" t="e">
        <f ca="1">[3]!terbilang(G190)</f>
        <v>#NAME?</v>
      </c>
      <c r="H192" s="154"/>
      <c r="J192" s="150"/>
      <c r="K192" s="150"/>
    </row>
    <row r="193" spans="3:11">
      <c r="C193" s="150"/>
      <c r="D193" s="193"/>
      <c r="E193" s="154"/>
      <c r="F193" s="154"/>
      <c r="G193" s="154"/>
      <c r="H193" s="154"/>
      <c r="J193" s="150"/>
      <c r="K193" s="150"/>
    </row>
    <row r="194" spans="3:11">
      <c r="C194" s="150"/>
      <c r="D194" s="193">
        <v>14952300</v>
      </c>
      <c r="E194" s="154">
        <v>25686590</v>
      </c>
      <c r="F194" s="154">
        <v>12165006</v>
      </c>
      <c r="G194" s="154">
        <v>33728185</v>
      </c>
      <c r="H194" s="154"/>
      <c r="J194" s="150"/>
      <c r="K194" s="150"/>
    </row>
    <row r="195" spans="3:11">
      <c r="C195" s="150"/>
      <c r="D195" s="193" t="e">
        <f ca="1">[3]!terbilang(D194)</f>
        <v>#NAME?</v>
      </c>
      <c r="E195" s="193" t="e">
        <f ca="1">[3]!terbilang(E194)</f>
        <v>#NAME?</v>
      </c>
      <c r="F195" s="193" t="e">
        <f ca="1">[3]!terbilang(F194)</f>
        <v>#NAME?</v>
      </c>
      <c r="G195" s="193" t="e">
        <f ca="1">[3]!terbilang(G194)</f>
        <v>#NAME?</v>
      </c>
      <c r="H195" s="154"/>
      <c r="J195" s="150"/>
      <c r="K195" s="150"/>
    </row>
    <row r="196" spans="3:11">
      <c r="C196" s="150"/>
      <c r="D196" s="193"/>
      <c r="E196" s="193"/>
      <c r="F196" s="193"/>
      <c r="G196" s="193"/>
      <c r="H196" s="193" t="e">
        <f ca="1">[3]!terbilang(H194)</f>
        <v>#NAME?</v>
      </c>
      <c r="J196" s="150"/>
      <c r="K196" s="150"/>
    </row>
    <row r="197" spans="3:11">
      <c r="C197" s="150"/>
      <c r="D197" s="193">
        <v>48422213</v>
      </c>
      <c r="E197" s="154">
        <v>36753941</v>
      </c>
      <c r="F197" s="154">
        <v>31079686</v>
      </c>
      <c r="G197" s="154">
        <v>20004300</v>
      </c>
      <c r="H197" s="154"/>
      <c r="J197" s="150"/>
      <c r="K197" s="150"/>
    </row>
    <row r="198" spans="3:11">
      <c r="C198" s="150"/>
      <c r="D198" s="193"/>
      <c r="E198" s="154"/>
      <c r="F198" s="154"/>
      <c r="G198" s="154"/>
      <c r="H198" s="154"/>
      <c r="J198" s="150"/>
      <c r="K198" s="150"/>
    </row>
    <row r="199" spans="3:11">
      <c r="C199" s="150"/>
      <c r="D199" s="193" t="e">
        <f ca="1">[3]!terbilang(D197)</f>
        <v>#NAME?</v>
      </c>
      <c r="E199" s="193" t="e">
        <f ca="1">[3]!terbilang(E197)</f>
        <v>#NAME?</v>
      </c>
      <c r="F199" s="193" t="e">
        <f ca="1">[3]!terbilang(F197)</f>
        <v>#NAME?</v>
      </c>
      <c r="G199" s="193" t="e">
        <f ca="1">[3]!terbilang(G197)</f>
        <v>#NAME?</v>
      </c>
      <c r="H199" s="154"/>
      <c r="J199" s="150"/>
      <c r="K199" s="150"/>
    </row>
    <row r="200" spans="3:11">
      <c r="C200" s="150"/>
      <c r="D200" s="193">
        <v>59307925</v>
      </c>
      <c r="E200" s="154">
        <v>91714882</v>
      </c>
      <c r="F200" s="154">
        <v>50376375</v>
      </c>
      <c r="G200" s="154">
        <v>48653224</v>
      </c>
      <c r="H200" s="154"/>
      <c r="J200" s="150"/>
      <c r="K200" s="150"/>
    </row>
    <row r="201" spans="3:11">
      <c r="C201" s="150"/>
      <c r="D201" s="193"/>
      <c r="E201" s="154"/>
      <c r="F201" s="154"/>
      <c r="G201" s="154"/>
      <c r="H201" s="154"/>
      <c r="J201" s="150"/>
      <c r="K201" s="150"/>
    </row>
    <row r="202" spans="3:11">
      <c r="C202" s="150"/>
      <c r="D202" s="193" t="e">
        <f ca="1">[3]!terbilang(D200)</f>
        <v>#NAME?</v>
      </c>
      <c r="E202" s="193" t="e">
        <f ca="1">[3]!terbilang(E200)</f>
        <v>#NAME?</v>
      </c>
      <c r="F202" s="193" t="e">
        <f ca="1">[3]!terbilang(F200)</f>
        <v>#NAME?</v>
      </c>
      <c r="G202" s="193" t="e">
        <f ca="1">[3]!terbilang(G200)</f>
        <v>#NAME?</v>
      </c>
      <c r="J202" s="150"/>
      <c r="K202" s="150"/>
    </row>
    <row r="203" spans="3:11">
      <c r="C203" s="150"/>
      <c r="D203" s="193"/>
      <c r="E203" s="154"/>
      <c r="F203" s="154"/>
      <c r="G203" s="154"/>
      <c r="J203" s="150"/>
      <c r="K203" s="150"/>
    </row>
    <row r="204" spans="3:11">
      <c r="C204" s="150"/>
      <c r="D204" s="193"/>
      <c r="E204" s="154"/>
      <c r="F204" s="154"/>
      <c r="G204" s="154"/>
      <c r="J204" s="150"/>
      <c r="K204" s="150"/>
    </row>
    <row r="205" spans="3:11">
      <c r="C205" s="150"/>
      <c r="D205" s="193"/>
      <c r="E205" s="154"/>
      <c r="F205" s="154"/>
      <c r="G205" s="154"/>
      <c r="J205" s="150"/>
      <c r="K205" s="150"/>
    </row>
    <row r="206" spans="3:11">
      <c r="C206" s="150"/>
      <c r="D206" s="193"/>
      <c r="E206" s="154"/>
      <c r="F206" s="154"/>
      <c r="G206" s="154"/>
      <c r="J206" s="150"/>
      <c r="K206" s="150"/>
    </row>
    <row r="207" spans="3:11">
      <c r="C207" s="150"/>
      <c r="D207" s="193"/>
      <c r="E207" s="154" t="s">
        <v>108</v>
      </c>
      <c r="F207" s="154"/>
      <c r="G207" s="154"/>
      <c r="J207" s="150"/>
      <c r="K207" s="150"/>
    </row>
    <row r="209" spans="3:11">
      <c r="C209" s="150"/>
      <c r="D209" s="182" t="s">
        <v>112</v>
      </c>
      <c r="J209" s="150"/>
      <c r="K209" s="150"/>
    </row>
    <row r="210" spans="3:11">
      <c r="C210" s="150"/>
      <c r="E210" s="150" t="s">
        <v>111</v>
      </c>
      <c r="J210" s="150"/>
      <c r="K210" s="150"/>
    </row>
  </sheetData>
  <mergeCells count="16">
    <mergeCell ref="L126:N126"/>
    <mergeCell ref="P126:R126"/>
    <mergeCell ref="S126:U126"/>
    <mergeCell ref="C4:AG4"/>
    <mergeCell ref="A91:B91"/>
    <mergeCell ref="AD98:AF98"/>
    <mergeCell ref="F100:G100"/>
    <mergeCell ref="H100:I100"/>
    <mergeCell ref="J100:K100"/>
    <mergeCell ref="L100:M100"/>
    <mergeCell ref="R100:T100"/>
    <mergeCell ref="F101:G101"/>
    <mergeCell ref="H101:I101"/>
    <mergeCell ref="J101:K101"/>
    <mergeCell ref="L101:M101"/>
    <mergeCell ref="R101:T101"/>
  </mergeCells>
  <pageMargins left="0.7" right="0.7" top="0.75" bottom="0.75" header="0.3" footer="0.3"/>
  <pageSetup paperSize="9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07"/>
  <sheetViews>
    <sheetView topLeftCell="R1" zoomScale="80" zoomScaleNormal="80" workbookViewId="0">
      <selection activeCell="A12" sqref="A12:XFD13"/>
    </sheetView>
  </sheetViews>
  <sheetFormatPr defaultRowHeight="15.75"/>
  <cols>
    <col min="1" max="1" width="45" style="150" customWidth="1"/>
    <col min="2" max="2" width="11.42578125" style="150" customWidth="1"/>
    <col min="3" max="3" width="19.85546875" style="182" customWidth="1"/>
    <col min="4" max="4" width="18.7109375" style="182" customWidth="1"/>
    <col min="5" max="5" width="21.28515625" style="150" customWidth="1"/>
    <col min="6" max="6" width="22.5703125" style="150" customWidth="1"/>
    <col min="7" max="7" width="18.42578125" style="150" customWidth="1"/>
    <col min="8" max="8" width="22.140625" style="150" customWidth="1"/>
    <col min="9" max="9" width="21.42578125" style="150" customWidth="1"/>
    <col min="10" max="10" width="22.140625" style="182" customWidth="1"/>
    <col min="11" max="11" width="21" style="182" customWidth="1"/>
    <col min="12" max="12" width="24.140625" style="150" customWidth="1"/>
    <col min="13" max="13" width="24.7109375" style="150" customWidth="1"/>
    <col min="14" max="14" width="19.42578125" style="150" customWidth="1"/>
    <col min="15" max="15" width="18.28515625" style="150" customWidth="1"/>
    <col min="16" max="16" width="24" style="150" customWidth="1"/>
    <col min="17" max="17" width="21.28515625" style="150" customWidth="1"/>
    <col min="18" max="18" width="25.28515625" style="150" customWidth="1"/>
    <col min="19" max="19" width="21.140625" style="150" customWidth="1"/>
    <col min="20" max="20" width="23" style="150" customWidth="1"/>
    <col min="21" max="21" width="19.5703125" style="150" customWidth="1"/>
    <col min="22" max="22" width="19.42578125" style="150" customWidth="1"/>
    <col min="23" max="23" width="23" style="150" customWidth="1"/>
    <col min="24" max="25" width="20.7109375" style="150" customWidth="1"/>
    <col min="26" max="26" width="22.42578125" style="150" customWidth="1"/>
    <col min="27" max="27" width="21.7109375" style="150" customWidth="1"/>
    <col min="28" max="28" width="20.28515625" style="150" customWidth="1"/>
    <col min="29" max="29" width="18.5703125" style="150" customWidth="1"/>
    <col min="30" max="30" width="18.85546875" style="150" customWidth="1"/>
    <col min="31" max="31" width="17.42578125" style="150" customWidth="1"/>
    <col min="32" max="32" width="19" style="150" customWidth="1"/>
    <col min="33" max="34" width="21.7109375" style="150" customWidth="1"/>
    <col min="35" max="35" width="20.28515625" style="150" customWidth="1"/>
    <col min="36" max="36" width="18.140625" style="150" customWidth="1"/>
    <col min="37" max="37" width="12.85546875" style="150" customWidth="1"/>
    <col min="38" max="38" width="19.140625" style="150" customWidth="1"/>
    <col min="39" max="16384" width="9.140625" style="150"/>
  </cols>
  <sheetData>
    <row r="1" spans="1:36">
      <c r="A1" s="147" t="s">
        <v>0</v>
      </c>
      <c r="B1" s="148"/>
      <c r="C1" s="149"/>
      <c r="D1" s="149"/>
      <c r="E1" s="148"/>
      <c r="F1" s="148"/>
      <c r="G1" s="148"/>
      <c r="H1" s="148"/>
      <c r="I1" s="148"/>
      <c r="J1" s="149"/>
      <c r="K1" s="149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</row>
    <row r="2" spans="1:36" s="154" customFormat="1">
      <c r="A2" s="151" t="s">
        <v>1</v>
      </c>
      <c r="B2" s="152"/>
      <c r="C2" s="153"/>
      <c r="D2" s="153"/>
      <c r="E2" s="152"/>
      <c r="F2" s="152"/>
      <c r="G2" s="152"/>
      <c r="H2" s="152"/>
      <c r="I2" s="152"/>
      <c r="J2" s="153"/>
      <c r="K2" s="153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</row>
    <row r="3" spans="1:36">
      <c r="A3" s="155" t="s">
        <v>2</v>
      </c>
      <c r="B3" s="156">
        <v>44713</v>
      </c>
      <c r="C3" s="153"/>
      <c r="D3" s="153"/>
      <c r="E3" s="152"/>
      <c r="F3" s="152"/>
      <c r="G3" s="152"/>
      <c r="H3" s="152"/>
      <c r="I3" s="152"/>
      <c r="J3" s="153"/>
      <c r="K3" s="153"/>
      <c r="L3" s="152"/>
      <c r="M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</row>
    <row r="4" spans="1:36">
      <c r="A4" s="157" t="s">
        <v>3</v>
      </c>
      <c r="B4" s="158" t="s">
        <v>4</v>
      </c>
      <c r="C4" s="390" t="s">
        <v>5</v>
      </c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2"/>
      <c r="AH4" s="326"/>
      <c r="AI4" s="159" t="s">
        <v>6</v>
      </c>
      <c r="AJ4" s="154"/>
    </row>
    <row r="5" spans="1:36">
      <c r="A5" s="157"/>
      <c r="B5" s="158"/>
      <c r="C5" s="160">
        <v>44713</v>
      </c>
      <c r="D5" s="160">
        <v>44714</v>
      </c>
      <c r="E5" s="160">
        <v>44715</v>
      </c>
      <c r="F5" s="160">
        <v>44716</v>
      </c>
      <c r="G5" s="160">
        <v>44717</v>
      </c>
      <c r="H5" s="160">
        <v>44718</v>
      </c>
      <c r="I5" s="160">
        <v>44719</v>
      </c>
      <c r="J5" s="160">
        <v>44720</v>
      </c>
      <c r="K5" s="160">
        <v>44721</v>
      </c>
      <c r="L5" s="160">
        <v>44722</v>
      </c>
      <c r="M5" s="160">
        <v>44723</v>
      </c>
      <c r="N5" s="160">
        <v>44724</v>
      </c>
      <c r="O5" s="160">
        <v>44725</v>
      </c>
      <c r="P5" s="160">
        <v>44726</v>
      </c>
      <c r="Q5" s="160">
        <v>44727</v>
      </c>
      <c r="R5" s="160">
        <v>44728</v>
      </c>
      <c r="S5" s="160">
        <v>44729</v>
      </c>
      <c r="T5" s="160">
        <v>44730</v>
      </c>
      <c r="U5" s="160">
        <v>44731</v>
      </c>
      <c r="V5" s="160">
        <v>44732</v>
      </c>
      <c r="W5" s="160">
        <v>44733</v>
      </c>
      <c r="X5" s="160">
        <v>44734</v>
      </c>
      <c r="Y5" s="160">
        <v>44735</v>
      </c>
      <c r="Z5" s="160">
        <v>44736</v>
      </c>
      <c r="AA5" s="160">
        <v>44737</v>
      </c>
      <c r="AB5" s="160">
        <v>44738</v>
      </c>
      <c r="AC5" s="160">
        <v>44739</v>
      </c>
      <c r="AD5" s="160">
        <v>44740</v>
      </c>
      <c r="AE5" s="160">
        <v>44741</v>
      </c>
      <c r="AF5" s="160">
        <v>44742</v>
      </c>
      <c r="AG5" s="160"/>
      <c r="AH5" s="160"/>
      <c r="AI5" s="159"/>
      <c r="AJ5" s="154"/>
    </row>
    <row r="6" spans="1:36">
      <c r="A6" s="161" t="s">
        <v>7</v>
      </c>
      <c r="B6" s="162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8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3"/>
      <c r="AJ6" s="173"/>
    </row>
    <row r="7" spans="1:36">
      <c r="A7" s="258" t="s">
        <v>577</v>
      </c>
      <c r="B7" s="162"/>
      <c r="C7" s="167"/>
      <c r="D7" s="167"/>
      <c r="E7" s="281"/>
      <c r="F7" s="273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167"/>
      <c r="AA7" s="167"/>
      <c r="AB7" s="281"/>
      <c r="AC7" s="273"/>
      <c r="AD7" s="281"/>
      <c r="AE7" s="281"/>
      <c r="AF7" s="281"/>
      <c r="AG7" s="273"/>
      <c r="AH7" s="273"/>
      <c r="AI7" s="163"/>
      <c r="AJ7" s="173"/>
    </row>
    <row r="8" spans="1:36">
      <c r="A8" s="258" t="s">
        <v>492</v>
      </c>
      <c r="B8" s="162"/>
      <c r="C8" s="273"/>
      <c r="D8" s="273"/>
      <c r="E8" s="273"/>
      <c r="F8" s="273"/>
      <c r="G8" s="273"/>
      <c r="H8" s="273"/>
      <c r="I8" s="273">
        <v>2016307870</v>
      </c>
      <c r="J8" s="273"/>
      <c r="K8" s="273"/>
      <c r="L8" s="273"/>
      <c r="M8" s="273"/>
      <c r="N8" s="273"/>
      <c r="O8" s="273">
        <v>154015073</v>
      </c>
      <c r="P8" s="168"/>
      <c r="Q8" s="273"/>
      <c r="R8" s="273"/>
      <c r="S8" s="273"/>
      <c r="T8" s="273"/>
      <c r="U8" s="273"/>
      <c r="V8" s="273"/>
      <c r="W8" s="273"/>
      <c r="X8" s="273"/>
      <c r="Y8" s="273">
        <f>199582300+78074922</f>
        <v>277657222</v>
      </c>
      <c r="Z8" s="273"/>
      <c r="AA8" s="273"/>
      <c r="AB8" s="273"/>
      <c r="AC8" s="273"/>
      <c r="AD8" s="273"/>
      <c r="AE8" s="273"/>
      <c r="AF8" s="273"/>
      <c r="AG8" s="273"/>
      <c r="AH8" s="273"/>
      <c r="AI8" s="163"/>
      <c r="AJ8" s="173"/>
    </row>
    <row r="9" spans="1:36">
      <c r="A9" s="166" t="s">
        <v>356</v>
      </c>
      <c r="B9" s="191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5"/>
      <c r="AJ9" s="154"/>
    </row>
    <row r="10" spans="1:36">
      <c r="A10" s="166" t="s">
        <v>480</v>
      </c>
      <c r="B10" s="191"/>
      <c r="C10" s="273"/>
      <c r="D10" s="273"/>
      <c r="E10" s="171"/>
      <c r="F10" s="273"/>
      <c r="G10" s="273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273"/>
      <c r="U10" s="171"/>
      <c r="V10" s="273"/>
      <c r="W10" s="273"/>
      <c r="X10" s="171"/>
      <c r="Y10" s="171"/>
      <c r="Z10" s="273"/>
      <c r="AA10" s="273"/>
      <c r="AB10" s="171"/>
      <c r="AC10" s="273"/>
      <c r="AD10" s="273">
        <v>180331506</v>
      </c>
      <c r="AE10" s="171"/>
      <c r="AF10" s="273"/>
      <c r="AG10" s="273"/>
      <c r="AH10" s="273"/>
      <c r="AI10" s="165"/>
      <c r="AJ10" s="173"/>
    </row>
    <row r="11" spans="1:36">
      <c r="A11" s="166" t="s">
        <v>541</v>
      </c>
      <c r="B11" s="191"/>
      <c r="C11" s="171"/>
      <c r="D11" s="171"/>
      <c r="E11" s="171"/>
      <c r="F11" s="273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273"/>
      <c r="AD11" s="171"/>
      <c r="AE11" s="171"/>
      <c r="AF11" s="273"/>
      <c r="AG11" s="273"/>
      <c r="AH11" s="273"/>
      <c r="AI11" s="165"/>
      <c r="AJ11" s="173"/>
    </row>
    <row r="12" spans="1:36">
      <c r="A12" s="166" t="s">
        <v>366</v>
      </c>
      <c r="B12" s="191"/>
      <c r="C12" s="171"/>
      <c r="D12" s="171"/>
      <c r="E12" s="171"/>
      <c r="F12" s="273"/>
      <c r="G12" s="171"/>
      <c r="H12" s="171"/>
      <c r="I12" s="171"/>
      <c r="J12" s="171"/>
      <c r="K12" s="171"/>
      <c r="L12" s="171">
        <f>62550300-7941899</f>
        <v>54608401</v>
      </c>
      <c r="M12" s="171"/>
      <c r="N12" s="171"/>
      <c r="O12" s="175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273"/>
      <c r="AD12" s="171"/>
      <c r="AE12" s="171"/>
      <c r="AF12" s="273"/>
      <c r="AG12" s="273"/>
      <c r="AH12" s="273"/>
      <c r="AI12" s="165"/>
      <c r="AJ12" s="173"/>
    </row>
    <row r="13" spans="1:36">
      <c r="A13" s="166" t="s">
        <v>668</v>
      </c>
      <c r="B13" s="191"/>
      <c r="C13" s="171"/>
      <c r="D13" s="171"/>
      <c r="E13" s="171"/>
      <c r="F13" s="273"/>
      <c r="G13" s="171"/>
      <c r="H13" s="171"/>
      <c r="I13" s="171"/>
      <c r="J13" s="171"/>
      <c r="K13" s="171"/>
      <c r="L13" s="171"/>
      <c r="M13" s="171"/>
      <c r="N13" s="171"/>
      <c r="O13" s="175"/>
      <c r="P13" s="175"/>
      <c r="Q13" s="175"/>
      <c r="R13" s="175"/>
      <c r="S13" s="175"/>
      <c r="T13" s="171"/>
      <c r="U13" s="171"/>
      <c r="V13" s="175"/>
      <c r="W13" s="175"/>
      <c r="X13" s="175"/>
      <c r="Y13" s="175"/>
      <c r="Z13" s="175"/>
      <c r="AA13" s="171"/>
      <c r="AB13" s="171"/>
      <c r="AC13" s="175"/>
      <c r="AD13" s="171"/>
      <c r="AE13" s="175"/>
      <c r="AF13" s="175">
        <v>291416687</v>
      </c>
      <c r="AG13" s="273"/>
      <c r="AH13" s="273"/>
      <c r="AI13" s="165"/>
      <c r="AJ13" s="173"/>
    </row>
    <row r="14" spans="1:36">
      <c r="A14" s="166" t="s">
        <v>10</v>
      </c>
      <c r="B14" s="191"/>
      <c r="C14" s="273"/>
      <c r="D14" s="273"/>
      <c r="E14" s="175"/>
      <c r="F14" s="273"/>
      <c r="G14" s="273"/>
      <c r="H14" s="175"/>
      <c r="I14" s="175"/>
      <c r="J14" s="175"/>
      <c r="K14" s="175"/>
      <c r="L14" s="175"/>
      <c r="M14" s="273"/>
      <c r="N14" s="273"/>
      <c r="O14" s="171"/>
      <c r="P14" s="171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175"/>
      <c r="AC14" s="273"/>
      <c r="AD14" s="273"/>
      <c r="AE14" s="175"/>
      <c r="AF14" s="273"/>
      <c r="AG14" s="273"/>
      <c r="AH14" s="273"/>
      <c r="AI14" s="165"/>
      <c r="AJ14" s="173"/>
    </row>
    <row r="15" spans="1:36">
      <c r="A15" s="166" t="s">
        <v>669</v>
      </c>
      <c r="B15" s="191"/>
      <c r="C15" s="175"/>
      <c r="D15" s="175"/>
      <c r="E15" s="175"/>
      <c r="F15" s="171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1"/>
      <c r="AD15" s="175"/>
      <c r="AE15" s="175"/>
      <c r="AF15" s="171"/>
      <c r="AG15" s="171"/>
      <c r="AH15" s="274"/>
      <c r="AI15" s="165"/>
      <c r="AJ15" s="234"/>
    </row>
    <row r="16" spans="1:36">
      <c r="A16" s="166" t="s">
        <v>578</v>
      </c>
      <c r="B16" s="191"/>
      <c r="C16" s="175"/>
      <c r="D16" s="175"/>
      <c r="E16" s="280"/>
      <c r="F16" s="171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175"/>
      <c r="AA16" s="175"/>
      <c r="AB16" s="280"/>
      <c r="AC16" s="171"/>
      <c r="AD16" s="280"/>
      <c r="AE16" s="280"/>
      <c r="AF16" s="280"/>
      <c r="AG16" s="171"/>
      <c r="AH16" s="171"/>
      <c r="AI16" s="165"/>
      <c r="AJ16" s="234"/>
    </row>
    <row r="17" spans="1:36">
      <c r="A17" s="166" t="s">
        <v>579</v>
      </c>
      <c r="B17" s="191"/>
      <c r="C17" s="175"/>
      <c r="D17" s="171"/>
      <c r="E17" s="175"/>
      <c r="F17" s="171"/>
      <c r="G17" s="175"/>
      <c r="H17" s="175"/>
      <c r="I17" s="171"/>
      <c r="J17" s="171">
        <v>524819618</v>
      </c>
      <c r="K17" s="175"/>
      <c r="L17" s="175"/>
      <c r="M17" s="175"/>
      <c r="N17" s="175"/>
      <c r="O17" s="171">
        <v>9887717</v>
      </c>
      <c r="P17" s="171"/>
      <c r="Q17" s="175"/>
      <c r="R17" s="171"/>
      <c r="S17" s="171"/>
      <c r="T17" s="171"/>
      <c r="U17" s="171"/>
      <c r="V17" s="171"/>
      <c r="W17" s="172">
        <f>100016294+203194937</f>
        <v>303211231</v>
      </c>
      <c r="X17" s="175"/>
      <c r="Y17" s="175"/>
      <c r="Z17" s="175"/>
      <c r="AA17" s="171"/>
      <c r="AB17" s="175"/>
      <c r="AC17" s="171"/>
      <c r="AD17" s="175"/>
      <c r="AE17" s="175"/>
      <c r="AF17" s="171"/>
      <c r="AG17" s="171"/>
      <c r="AH17" s="171"/>
      <c r="AI17" s="165"/>
      <c r="AJ17" s="234"/>
    </row>
    <row r="18" spans="1:36">
      <c r="A18" s="166" t="s">
        <v>261</v>
      </c>
      <c r="B18" s="19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2"/>
      <c r="AE18" s="171"/>
      <c r="AF18" s="171"/>
      <c r="AG18" s="171"/>
      <c r="AH18" s="171"/>
      <c r="AI18" s="165"/>
      <c r="AJ18" s="234"/>
    </row>
    <row r="19" spans="1:36">
      <c r="A19" s="166" t="s">
        <v>479</v>
      </c>
      <c r="B19" s="191"/>
      <c r="C19" s="171"/>
      <c r="D19" s="175"/>
      <c r="E19" s="175"/>
      <c r="F19" s="171"/>
      <c r="G19" s="175"/>
      <c r="H19" s="175"/>
      <c r="I19" s="175"/>
      <c r="J19" s="175"/>
      <c r="K19" s="175"/>
      <c r="L19" s="175"/>
      <c r="M19" s="175"/>
      <c r="N19" s="175"/>
      <c r="O19" s="171"/>
      <c r="P19" s="175"/>
      <c r="Q19" s="172"/>
      <c r="R19" s="172"/>
      <c r="S19" s="172"/>
      <c r="T19" s="171"/>
      <c r="U19" s="171"/>
      <c r="V19" s="171"/>
      <c r="W19" s="175"/>
      <c r="X19" s="175"/>
      <c r="Y19" s="175"/>
      <c r="Z19" s="171"/>
      <c r="AA19" s="175"/>
      <c r="AB19" s="175"/>
      <c r="AC19" s="171"/>
      <c r="AD19" s="172">
        <v>1113898757</v>
      </c>
      <c r="AE19" s="175"/>
      <c r="AF19" s="171"/>
      <c r="AG19" s="171"/>
      <c r="AH19" s="169"/>
      <c r="AI19" s="165"/>
      <c r="AJ19" s="234"/>
    </row>
    <row r="20" spans="1:36">
      <c r="A20" s="166" t="s">
        <v>17</v>
      </c>
      <c r="B20" s="19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2"/>
      <c r="S20" s="172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2"/>
      <c r="AE20" s="171"/>
      <c r="AF20" s="171"/>
      <c r="AG20" s="171"/>
      <c r="AH20" s="171"/>
      <c r="AI20" s="165"/>
      <c r="AJ20" s="234"/>
    </row>
    <row r="21" spans="1:36">
      <c r="A21" s="166" t="s">
        <v>18</v>
      </c>
      <c r="B21" s="191"/>
      <c r="C21" s="273"/>
      <c r="D21" s="273"/>
      <c r="E21" s="273"/>
      <c r="F21" s="273"/>
      <c r="G21" s="273"/>
      <c r="H21" s="171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168"/>
      <c r="AE21" s="273"/>
      <c r="AF21" s="273"/>
      <c r="AG21" s="273"/>
      <c r="AH21" s="273"/>
      <c r="AI21" s="165"/>
      <c r="AJ21" s="233"/>
    </row>
    <row r="22" spans="1:36">
      <c r="A22" s="166" t="s">
        <v>19</v>
      </c>
      <c r="B22" s="191"/>
      <c r="C22" s="273"/>
      <c r="D22" s="273"/>
      <c r="E22" s="273"/>
      <c r="F22" s="273"/>
      <c r="G22" s="273"/>
      <c r="H22" s="171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168"/>
      <c r="AE22" s="273"/>
      <c r="AF22" s="273"/>
      <c r="AG22" s="273"/>
      <c r="AH22" s="273"/>
      <c r="AI22" s="165"/>
      <c r="AJ22" s="233"/>
    </row>
    <row r="23" spans="1:36">
      <c r="A23" s="166" t="s">
        <v>530</v>
      </c>
      <c r="B23" s="191"/>
      <c r="C23" s="273"/>
      <c r="D23" s="273"/>
      <c r="E23" s="273"/>
      <c r="F23" s="273"/>
      <c r="G23" s="273"/>
      <c r="H23" s="171"/>
      <c r="I23" s="273"/>
      <c r="J23" s="171"/>
      <c r="K23" s="273"/>
      <c r="L23" s="273"/>
      <c r="M23" s="273"/>
      <c r="N23" s="273"/>
      <c r="O23" s="273">
        <v>41622640</v>
      </c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5"/>
      <c r="AI23" s="165"/>
      <c r="AJ23" s="233"/>
    </row>
    <row r="24" spans="1:36">
      <c r="A24" s="166" t="s">
        <v>43</v>
      </c>
      <c r="B24" s="191"/>
      <c r="C24" s="273"/>
      <c r="D24" s="273"/>
      <c r="E24" s="273"/>
      <c r="F24" s="273"/>
      <c r="G24" s="273"/>
      <c r="H24" s="171"/>
      <c r="I24" s="171"/>
      <c r="J24" s="171"/>
      <c r="K24" s="273"/>
      <c r="L24" s="273"/>
      <c r="M24" s="171"/>
      <c r="N24" s="273"/>
      <c r="O24" s="273"/>
      <c r="P24" s="171"/>
      <c r="Q24" s="273"/>
      <c r="R24" s="170"/>
      <c r="S24" s="170"/>
      <c r="T24" s="273"/>
      <c r="U24" s="171"/>
      <c r="V24" s="171"/>
      <c r="W24" s="273"/>
      <c r="X24" s="273"/>
      <c r="Y24" s="273"/>
      <c r="Z24" s="273"/>
      <c r="AA24" s="273"/>
      <c r="AB24" s="273"/>
      <c r="AC24" s="171"/>
      <c r="AD24" s="273"/>
      <c r="AE24" s="273"/>
      <c r="AF24" s="273"/>
      <c r="AG24" s="273"/>
      <c r="AH24" s="273"/>
      <c r="AI24" s="165"/>
      <c r="AJ24" s="233"/>
    </row>
    <row r="25" spans="1:36">
      <c r="A25" s="166" t="s">
        <v>318</v>
      </c>
      <c r="B25" s="191"/>
      <c r="C25" s="171"/>
      <c r="D25" s="170"/>
      <c r="E25" s="170"/>
      <c r="F25" s="170"/>
      <c r="G25" s="170"/>
      <c r="H25" s="171">
        <v>118901568</v>
      </c>
      <c r="I25" s="171"/>
      <c r="J25" s="171">
        <f>738983492-565908627</f>
        <v>173074865</v>
      </c>
      <c r="K25" s="171"/>
      <c r="L25" s="171"/>
      <c r="M25" s="171"/>
      <c r="N25" s="171"/>
      <c r="O25" s="273"/>
      <c r="P25" s="171"/>
      <c r="Q25" s="170"/>
      <c r="R25" s="273"/>
      <c r="S25" s="273"/>
      <c r="T25" s="171"/>
      <c r="U25" s="171"/>
      <c r="V25" s="171"/>
      <c r="W25" s="170"/>
      <c r="X25" s="170"/>
      <c r="Y25" s="170"/>
      <c r="Z25" s="171"/>
      <c r="AA25" s="170"/>
      <c r="AB25" s="170"/>
      <c r="AC25" s="171"/>
      <c r="AD25" s="170"/>
      <c r="AE25" s="170"/>
      <c r="AF25" s="170"/>
      <c r="AG25" s="170"/>
      <c r="AH25" s="170"/>
      <c r="AI25" s="165"/>
      <c r="AJ25" s="233"/>
    </row>
    <row r="26" spans="1:36">
      <c r="A26" s="166" t="s">
        <v>447</v>
      </c>
      <c r="B26" s="191"/>
      <c r="C26" s="170"/>
      <c r="D26" s="170"/>
      <c r="E26" s="170"/>
      <c r="F26" s="170"/>
      <c r="G26" s="170"/>
      <c r="H26" s="171"/>
      <c r="I26" s="171"/>
      <c r="J26" s="171"/>
      <c r="K26" s="170"/>
      <c r="L26" s="170"/>
      <c r="M26" s="171"/>
      <c r="N26" s="170"/>
      <c r="O26" s="273"/>
      <c r="P26" s="171"/>
      <c r="Q26" s="170"/>
      <c r="R26" s="273"/>
      <c r="S26" s="273"/>
      <c r="T26" s="170"/>
      <c r="U26" s="171"/>
      <c r="V26" s="171"/>
      <c r="W26" s="170"/>
      <c r="X26" s="170"/>
      <c r="Y26" s="170"/>
      <c r="Z26" s="171">
        <v>919999</v>
      </c>
      <c r="AA26" s="170"/>
      <c r="AB26" s="170"/>
      <c r="AC26" s="171">
        <v>1379999</v>
      </c>
      <c r="AD26" s="170"/>
      <c r="AE26" s="170"/>
      <c r="AF26" s="170"/>
      <c r="AG26" s="170"/>
      <c r="AH26" s="170"/>
      <c r="AI26" s="165"/>
      <c r="AJ26" s="233"/>
    </row>
    <row r="27" spans="1:36">
      <c r="A27" s="166" t="s">
        <v>348</v>
      </c>
      <c r="B27" s="191"/>
      <c r="C27" s="273"/>
      <c r="D27" s="273"/>
      <c r="E27" s="273"/>
      <c r="F27" s="273"/>
      <c r="G27" s="273"/>
      <c r="H27" s="171"/>
      <c r="I27" s="171"/>
      <c r="J27" s="171"/>
      <c r="K27" s="273"/>
      <c r="L27" s="273"/>
      <c r="M27" s="171"/>
      <c r="N27" s="273"/>
      <c r="O27" s="171"/>
      <c r="P27" s="171"/>
      <c r="Q27" s="273"/>
      <c r="R27" s="273"/>
      <c r="S27" s="273"/>
      <c r="T27" s="273"/>
      <c r="U27" s="171"/>
      <c r="V27" s="171"/>
      <c r="W27" s="273"/>
      <c r="X27" s="273"/>
      <c r="Y27" s="273">
        <f>20953279-13833079</f>
        <v>7120200</v>
      </c>
      <c r="Z27" s="273"/>
      <c r="AA27" s="273"/>
      <c r="AB27" s="273"/>
      <c r="AC27" s="171"/>
      <c r="AD27" s="273"/>
      <c r="AE27" s="273"/>
      <c r="AF27" s="273"/>
      <c r="AG27" s="273"/>
      <c r="AH27" s="273"/>
      <c r="AI27" s="165"/>
      <c r="AJ27" s="235"/>
    </row>
    <row r="28" spans="1:36">
      <c r="A28" s="166" t="s">
        <v>354</v>
      </c>
      <c r="B28" s="191"/>
      <c r="C28" s="273"/>
      <c r="D28" s="273"/>
      <c r="E28" s="273"/>
      <c r="F28" s="273"/>
      <c r="G28" s="273"/>
      <c r="H28" s="171"/>
      <c r="I28" s="273">
        <v>116735518</v>
      </c>
      <c r="J28" s="273"/>
      <c r="K28" s="273"/>
      <c r="L28" s="273"/>
      <c r="M28" s="171"/>
      <c r="N28" s="273"/>
      <c r="O28" s="171">
        <v>4680134</v>
      </c>
      <c r="P28" s="273">
        <v>73222934</v>
      </c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171">
        <v>3902561</v>
      </c>
      <c r="AD28" s="273"/>
      <c r="AE28" s="273"/>
      <c r="AF28" s="273"/>
      <c r="AG28" s="273"/>
      <c r="AH28" s="273"/>
      <c r="AI28" s="165"/>
      <c r="AJ28" s="235"/>
    </row>
    <row r="29" spans="1:36">
      <c r="A29" s="166" t="s">
        <v>350</v>
      </c>
      <c r="B29" s="191"/>
      <c r="C29" s="273"/>
      <c r="D29" s="273"/>
      <c r="E29" s="273"/>
      <c r="F29" s="273"/>
      <c r="G29" s="273"/>
      <c r="H29" s="171"/>
      <c r="I29" s="273"/>
      <c r="J29" s="273"/>
      <c r="K29" s="273"/>
      <c r="L29" s="273"/>
      <c r="M29" s="171"/>
      <c r="N29" s="273"/>
      <c r="O29" s="171"/>
      <c r="P29" s="273"/>
      <c r="Q29" s="273"/>
      <c r="R29" s="170"/>
      <c r="S29" s="170"/>
      <c r="T29" s="273"/>
      <c r="U29" s="170"/>
      <c r="V29" s="170"/>
      <c r="W29" s="273"/>
      <c r="X29" s="273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  <c r="AI29" s="165"/>
      <c r="AJ29" s="235"/>
    </row>
    <row r="30" spans="1:36">
      <c r="A30" s="166" t="s">
        <v>671</v>
      </c>
      <c r="B30" s="191"/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171"/>
      <c r="N30" s="273"/>
      <c r="O30" s="172"/>
      <c r="P30" s="329"/>
      <c r="Q30" s="329"/>
      <c r="R30" s="329"/>
      <c r="S30" s="329"/>
      <c r="T30" s="329"/>
      <c r="U30" s="170"/>
      <c r="V30" s="170"/>
      <c r="W30" s="329"/>
      <c r="X30" s="329"/>
      <c r="Y30" s="329"/>
      <c r="Z30" s="329"/>
      <c r="AA30" s="329"/>
      <c r="AB30" s="273"/>
      <c r="AC30" s="273"/>
      <c r="AD30" s="329"/>
      <c r="AE30" s="273"/>
      <c r="AF30" s="273"/>
      <c r="AG30" s="329">
        <v>174204291</v>
      </c>
      <c r="AH30" s="273"/>
      <c r="AI30" s="165"/>
      <c r="AJ30" s="235"/>
    </row>
    <row r="31" spans="1:36">
      <c r="A31" s="166" t="s">
        <v>648</v>
      </c>
      <c r="B31" s="191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171"/>
      <c r="N31" s="273"/>
      <c r="O31" s="172">
        <v>94709401</v>
      </c>
      <c r="P31" s="329"/>
      <c r="Q31" s="329"/>
      <c r="R31" s="329"/>
      <c r="S31" s="172">
        <v>64714265</v>
      </c>
      <c r="T31" s="329"/>
      <c r="U31" s="170"/>
      <c r="V31" s="170"/>
      <c r="W31" s="329"/>
      <c r="X31" s="329"/>
      <c r="Y31" s="329"/>
      <c r="Z31" s="329"/>
      <c r="AA31" s="329"/>
      <c r="AB31" s="273"/>
      <c r="AC31" s="273"/>
      <c r="AD31" s="329"/>
      <c r="AE31" s="273"/>
      <c r="AF31" s="273">
        <v>111736757</v>
      </c>
      <c r="AG31" s="329"/>
      <c r="AH31" s="273"/>
      <c r="AI31" s="165"/>
      <c r="AJ31" s="235"/>
    </row>
    <row r="32" spans="1:36">
      <c r="A32" s="166" t="s">
        <v>685</v>
      </c>
      <c r="B32" s="191"/>
      <c r="C32" s="273"/>
      <c r="D32" s="273"/>
      <c r="E32" s="167"/>
      <c r="F32" s="273"/>
      <c r="G32" s="168"/>
      <c r="H32" s="167"/>
      <c r="I32" s="167"/>
      <c r="J32" s="167"/>
      <c r="K32" s="167"/>
      <c r="L32" s="167"/>
      <c r="M32" s="171"/>
      <c r="N32" s="273"/>
      <c r="O32" s="168"/>
      <c r="P32" s="328"/>
      <c r="Q32" s="328"/>
      <c r="R32" s="328"/>
      <c r="S32" s="328"/>
      <c r="T32" s="328"/>
      <c r="U32" s="170"/>
      <c r="V32" s="168"/>
      <c r="W32" s="328"/>
      <c r="X32" s="328"/>
      <c r="Y32" s="328"/>
      <c r="Z32" s="328"/>
      <c r="AA32" s="328"/>
      <c r="AB32" s="167"/>
      <c r="AC32" s="273"/>
      <c r="AD32" s="328"/>
      <c r="AE32" s="167"/>
      <c r="AF32" s="273"/>
      <c r="AG32" s="328">
        <v>655684445</v>
      </c>
      <c r="AH32" s="273"/>
      <c r="AI32" s="165"/>
      <c r="AJ32" s="235"/>
    </row>
    <row r="33" spans="1:38">
      <c r="A33" s="166" t="s">
        <v>649</v>
      </c>
      <c r="B33" s="19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274"/>
      <c r="AI33" s="165"/>
      <c r="AJ33" s="234"/>
    </row>
    <row r="34" spans="1:38">
      <c r="A34" s="166" t="s">
        <v>576</v>
      </c>
      <c r="B34" s="191"/>
      <c r="C34" s="175"/>
      <c r="D34" s="175"/>
      <c r="E34" s="175"/>
      <c r="F34" s="171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>
        <v>103374298</v>
      </c>
      <c r="AG34" s="171"/>
      <c r="AH34" s="274"/>
      <c r="AI34" s="165"/>
      <c r="AJ34" s="234"/>
      <c r="AK34" s="184"/>
      <c r="AL34" s="186">
        <f>6325269+60889034</f>
        <v>67214303</v>
      </c>
    </row>
    <row r="35" spans="1:38">
      <c r="A35" s="187" t="s">
        <v>327</v>
      </c>
      <c r="B35" s="191"/>
      <c r="C35" s="175"/>
      <c r="D35" s="175"/>
      <c r="E35" s="175"/>
      <c r="F35" s="171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>
        <v>61709422</v>
      </c>
      <c r="AG35" s="171"/>
      <c r="AH35" s="274"/>
      <c r="AI35" s="165"/>
      <c r="AJ35" s="234"/>
      <c r="AK35" s="184"/>
      <c r="AL35" s="186"/>
    </row>
    <row r="36" spans="1:38">
      <c r="A36" s="187" t="s">
        <v>328</v>
      </c>
      <c r="B36" s="191"/>
      <c r="C36" s="175"/>
      <c r="D36" s="175"/>
      <c r="E36" s="175"/>
      <c r="F36" s="171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>
        <v>316175655</v>
      </c>
      <c r="AG36" s="171"/>
      <c r="AH36" s="274"/>
      <c r="AI36" s="165"/>
      <c r="AJ36" s="234"/>
      <c r="AK36" s="184"/>
      <c r="AL36" s="185"/>
    </row>
    <row r="37" spans="1:38">
      <c r="A37" s="187" t="s">
        <v>330</v>
      </c>
      <c r="B37" s="191"/>
      <c r="C37" s="175"/>
      <c r="D37" s="175"/>
      <c r="E37" s="175"/>
      <c r="F37" s="171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>
        <v>416002400</v>
      </c>
      <c r="AG37" s="171"/>
      <c r="AH37" s="274"/>
      <c r="AI37" s="165"/>
      <c r="AJ37" s="234">
        <f>SUM(AI34:AI37)</f>
        <v>0</v>
      </c>
      <c r="AK37" s="184"/>
      <c r="AL37" s="185"/>
    </row>
    <row r="38" spans="1:38">
      <c r="A38" s="166" t="s">
        <v>24</v>
      </c>
      <c r="B38" s="191"/>
      <c r="C38" s="171"/>
      <c r="D38" s="171"/>
      <c r="E38" s="171"/>
      <c r="F38" s="171"/>
      <c r="G38" s="172"/>
      <c r="H38" s="171"/>
      <c r="I38" s="171"/>
      <c r="J38" s="171"/>
      <c r="K38" s="171"/>
      <c r="L38" s="171"/>
      <c r="M38" s="171"/>
      <c r="N38" s="171"/>
      <c r="O38" s="171"/>
      <c r="P38" s="172"/>
      <c r="Q38" s="171">
        <f>3500140-638172</f>
        <v>2861968</v>
      </c>
      <c r="R38" s="171"/>
      <c r="S38" s="171"/>
      <c r="T38" s="171"/>
      <c r="U38" s="171"/>
      <c r="V38" s="171"/>
      <c r="W38" s="171"/>
      <c r="X38" s="171"/>
      <c r="Y38" s="171">
        <v>277166955</v>
      </c>
      <c r="Z38" s="171"/>
      <c r="AA38" s="171"/>
      <c r="AB38" s="171"/>
      <c r="AC38" s="171">
        <v>292206575</v>
      </c>
      <c r="AD38" s="172"/>
      <c r="AE38" s="171"/>
      <c r="AF38" s="171"/>
      <c r="AG38" s="171"/>
      <c r="AH38" s="171"/>
      <c r="AI38" s="165"/>
      <c r="AJ38" s="235"/>
      <c r="AK38" s="189"/>
    </row>
    <row r="39" spans="1:38">
      <c r="A39" s="166" t="s">
        <v>618</v>
      </c>
      <c r="B39" s="191"/>
      <c r="C39" s="175"/>
      <c r="D39" s="175"/>
      <c r="E39" s="175"/>
      <c r="F39" s="171"/>
      <c r="G39" s="172"/>
      <c r="H39" s="175"/>
      <c r="I39" s="175"/>
      <c r="J39" s="175"/>
      <c r="K39" s="175"/>
      <c r="L39" s="175"/>
      <c r="M39" s="175"/>
      <c r="N39" s="175"/>
      <c r="O39" s="175"/>
      <c r="P39" s="172"/>
      <c r="Q39" s="175"/>
      <c r="R39" s="175"/>
      <c r="S39" s="175"/>
      <c r="T39" s="175"/>
      <c r="U39" s="175"/>
      <c r="V39" s="175"/>
      <c r="W39" s="175"/>
      <c r="X39" s="172"/>
      <c r="Y39" s="172"/>
      <c r="Z39" s="172">
        <f>412467315-386616802</f>
        <v>25850513</v>
      </c>
      <c r="AA39" s="175"/>
      <c r="AB39" s="175"/>
      <c r="AC39" s="171"/>
      <c r="AD39" s="172">
        <v>294525</v>
      </c>
      <c r="AE39" s="175"/>
      <c r="AF39" s="171">
        <v>145371303</v>
      </c>
      <c r="AG39" s="171"/>
      <c r="AH39" s="171"/>
      <c r="AI39" s="165"/>
      <c r="AJ39" s="234"/>
      <c r="AK39" s="189"/>
    </row>
    <row r="40" spans="1:38">
      <c r="A40" s="166" t="s">
        <v>618</v>
      </c>
      <c r="B40" s="191"/>
      <c r="C40" s="175"/>
      <c r="D40" s="175"/>
      <c r="E40" s="175"/>
      <c r="F40" s="171"/>
      <c r="G40" s="172"/>
      <c r="H40" s="175"/>
      <c r="I40" s="175"/>
      <c r="J40" s="175"/>
      <c r="K40" s="175"/>
      <c r="L40" s="175"/>
      <c r="M40" s="175"/>
      <c r="N40" s="175"/>
      <c r="O40" s="175"/>
      <c r="P40" s="172"/>
      <c r="Q40" s="175"/>
      <c r="R40" s="175"/>
      <c r="S40" s="175"/>
      <c r="T40" s="175"/>
      <c r="U40" s="175"/>
      <c r="V40" s="175"/>
      <c r="W40" s="175"/>
      <c r="X40" s="172"/>
      <c r="Y40" s="172"/>
      <c r="Z40" s="172"/>
      <c r="AA40" s="175"/>
      <c r="AB40" s="175"/>
      <c r="AC40" s="171"/>
      <c r="AD40" s="172"/>
      <c r="AE40" s="175"/>
      <c r="AF40" s="171">
        <v>1045426</v>
      </c>
      <c r="AG40" s="171"/>
      <c r="AH40" s="171"/>
      <c r="AI40" s="165"/>
      <c r="AJ40" s="234"/>
      <c r="AK40" s="189"/>
    </row>
    <row r="41" spans="1:38">
      <c r="A41" s="166" t="s">
        <v>618</v>
      </c>
      <c r="B41" s="191"/>
      <c r="C41" s="175"/>
      <c r="D41" s="175"/>
      <c r="E41" s="175"/>
      <c r="F41" s="171"/>
      <c r="G41" s="172"/>
      <c r="H41" s="175"/>
      <c r="I41" s="175"/>
      <c r="J41" s="175"/>
      <c r="K41" s="175"/>
      <c r="L41" s="175"/>
      <c r="M41" s="175"/>
      <c r="N41" s="175"/>
      <c r="O41" s="175"/>
      <c r="P41" s="172"/>
      <c r="Q41" s="175"/>
      <c r="R41" s="175"/>
      <c r="S41" s="175"/>
      <c r="T41" s="175"/>
      <c r="U41" s="175"/>
      <c r="V41" s="175"/>
      <c r="W41" s="175"/>
      <c r="X41" s="172"/>
      <c r="Y41" s="172"/>
      <c r="Z41" s="172"/>
      <c r="AA41" s="175"/>
      <c r="AB41" s="175"/>
      <c r="AC41" s="171"/>
      <c r="AD41" s="172"/>
      <c r="AE41" s="175"/>
      <c r="AF41" s="171">
        <v>164968118</v>
      </c>
      <c r="AG41" s="171"/>
      <c r="AH41" s="171"/>
      <c r="AI41" s="165"/>
      <c r="AJ41" s="234"/>
      <c r="AK41" s="189"/>
    </row>
    <row r="42" spans="1:38">
      <c r="A42" s="166" t="s">
        <v>493</v>
      </c>
      <c r="B42" s="191"/>
      <c r="C42" s="171"/>
      <c r="D42" s="171"/>
      <c r="E42" s="171"/>
      <c r="F42" s="171"/>
      <c r="G42" s="172"/>
      <c r="H42" s="171"/>
      <c r="I42" s="171"/>
      <c r="J42" s="171"/>
      <c r="K42" s="171">
        <v>158340504</v>
      </c>
      <c r="L42" s="171"/>
      <c r="M42" s="171"/>
      <c r="N42" s="171"/>
      <c r="O42" s="171"/>
      <c r="P42" s="172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>
        <v>237521643</v>
      </c>
      <c r="AD42" s="172"/>
      <c r="AE42" s="171"/>
      <c r="AF42" s="171"/>
      <c r="AG42" s="171"/>
      <c r="AH42" s="171"/>
      <c r="AI42" s="165"/>
      <c r="AJ42" s="234"/>
      <c r="AK42" s="189"/>
    </row>
    <row r="43" spans="1:38">
      <c r="A43" s="166" t="s">
        <v>333</v>
      </c>
      <c r="B43" s="191"/>
      <c r="C43" s="167"/>
      <c r="D43" s="167"/>
      <c r="E43" s="167"/>
      <c r="F43" s="273"/>
      <c r="G43" s="168"/>
      <c r="H43" s="167"/>
      <c r="I43" s="167"/>
      <c r="J43" s="167"/>
      <c r="K43" s="167"/>
      <c r="L43" s="167"/>
      <c r="M43" s="167"/>
      <c r="N43" s="167"/>
      <c r="O43" s="167"/>
      <c r="P43" s="328"/>
      <c r="Q43" s="328"/>
      <c r="R43" s="328"/>
      <c r="S43" s="328"/>
      <c r="T43" s="328"/>
      <c r="U43" s="167"/>
      <c r="V43" s="167"/>
      <c r="W43" s="328"/>
      <c r="X43" s="328"/>
      <c r="Y43" s="328"/>
      <c r="Z43" s="328"/>
      <c r="AA43" s="328"/>
      <c r="AB43" s="167"/>
      <c r="AC43" s="273"/>
      <c r="AD43" s="328"/>
      <c r="AE43" s="167"/>
      <c r="AF43" s="273"/>
      <c r="AG43" s="328">
        <v>61003007</v>
      </c>
      <c r="AH43" s="275"/>
      <c r="AI43" s="165"/>
      <c r="AJ43" s="233"/>
    </row>
    <row r="44" spans="1:38">
      <c r="A44" s="166" t="s">
        <v>539</v>
      </c>
      <c r="B44" s="191"/>
      <c r="C44" s="167"/>
      <c r="D44" s="167"/>
      <c r="E44" s="167"/>
      <c r="F44" s="273"/>
      <c r="G44" s="167"/>
      <c r="H44" s="167"/>
      <c r="I44" s="167"/>
      <c r="J44" s="167"/>
      <c r="K44" s="167"/>
      <c r="L44" s="167"/>
      <c r="M44" s="167"/>
      <c r="N44" s="167"/>
      <c r="O44" s="167"/>
      <c r="P44" s="328"/>
      <c r="Q44" s="328"/>
      <c r="R44" s="328"/>
      <c r="S44" s="328"/>
      <c r="T44" s="328"/>
      <c r="U44" s="167"/>
      <c r="V44" s="167"/>
      <c r="W44" s="328"/>
      <c r="X44" s="328"/>
      <c r="Y44" s="328"/>
      <c r="Z44" s="328"/>
      <c r="AA44" s="328"/>
      <c r="AB44" s="167"/>
      <c r="AC44" s="273"/>
      <c r="AD44" s="328"/>
      <c r="AE44" s="167"/>
      <c r="AF44" s="273"/>
      <c r="AG44" s="328">
        <f>127319117+12869993+149745116</f>
        <v>289934226</v>
      </c>
      <c r="AH44" s="275"/>
      <c r="AI44" s="165"/>
      <c r="AJ44" s="233"/>
    </row>
    <row r="45" spans="1:38">
      <c r="A45" s="166" t="s">
        <v>336</v>
      </c>
      <c r="B45" s="191"/>
      <c r="C45" s="167"/>
      <c r="D45" s="167"/>
      <c r="E45" s="167"/>
      <c r="F45" s="273"/>
      <c r="G45" s="167"/>
      <c r="H45" s="167"/>
      <c r="I45" s="167"/>
      <c r="J45" s="167"/>
      <c r="K45" s="167"/>
      <c r="L45" s="167"/>
      <c r="M45" s="167"/>
      <c r="N45" s="167"/>
      <c r="O45" s="167"/>
      <c r="P45" s="328"/>
      <c r="Q45" s="328"/>
      <c r="R45" s="328"/>
      <c r="S45" s="328"/>
      <c r="T45" s="328"/>
      <c r="U45" s="167"/>
      <c r="V45" s="167"/>
      <c r="W45" s="328"/>
      <c r="X45" s="328"/>
      <c r="Y45" s="328"/>
      <c r="Z45" s="328"/>
      <c r="AA45" s="328"/>
      <c r="AB45" s="167"/>
      <c r="AC45" s="273"/>
      <c r="AD45" s="328"/>
      <c r="AE45" s="167"/>
      <c r="AF45" s="273"/>
      <c r="AG45" s="328">
        <v>30744983</v>
      </c>
      <c r="AH45" s="275"/>
      <c r="AI45" s="165"/>
      <c r="AJ45" s="233">
        <f>SUM(AI43:AI45)</f>
        <v>0</v>
      </c>
    </row>
    <row r="46" spans="1:38">
      <c r="A46" s="166" t="s">
        <v>337</v>
      </c>
      <c r="B46" s="191"/>
      <c r="C46" s="168"/>
      <c r="D46" s="168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>
        <v>19821558</v>
      </c>
      <c r="P46" s="273">
        <v>38649240</v>
      </c>
      <c r="Q46" s="273"/>
      <c r="R46" s="273"/>
      <c r="S46" s="273">
        <v>71777160</v>
      </c>
      <c r="T46" s="273"/>
      <c r="U46" s="273"/>
      <c r="V46" s="273">
        <v>77298480</v>
      </c>
      <c r="W46" s="273"/>
      <c r="X46" s="273"/>
      <c r="Y46" s="273"/>
      <c r="Z46" s="273"/>
      <c r="AA46" s="273"/>
      <c r="AB46" s="273"/>
      <c r="AC46" s="273"/>
      <c r="AD46" s="273"/>
      <c r="AE46" s="273"/>
      <c r="AF46" s="273">
        <v>127266426</v>
      </c>
      <c r="AG46" s="273"/>
      <c r="AH46" s="273"/>
      <c r="AI46" s="165"/>
      <c r="AJ46" s="233"/>
    </row>
    <row r="47" spans="1:38">
      <c r="A47" s="166" t="s">
        <v>650</v>
      </c>
      <c r="B47" s="191"/>
      <c r="C47" s="168"/>
      <c r="D47" s="168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165"/>
      <c r="AJ47" s="233"/>
    </row>
    <row r="48" spans="1:38">
      <c r="A48" s="166" t="s">
        <v>672</v>
      </c>
      <c r="B48" s="191"/>
      <c r="C48" s="168"/>
      <c r="D48" s="168"/>
      <c r="E48" s="273"/>
      <c r="F48" s="273"/>
      <c r="G48" s="273"/>
      <c r="H48" s="167"/>
      <c r="I48" s="167"/>
      <c r="J48" s="167"/>
      <c r="K48" s="167"/>
      <c r="L48" s="167"/>
      <c r="M48" s="273"/>
      <c r="N48" s="273"/>
      <c r="O48" s="167"/>
      <c r="P48" s="328"/>
      <c r="Q48" s="328"/>
      <c r="R48" s="328"/>
      <c r="S48" s="328"/>
      <c r="T48" s="328"/>
      <c r="U48" s="273"/>
      <c r="V48" s="273"/>
      <c r="W48" s="328"/>
      <c r="X48" s="328"/>
      <c r="Y48" s="328"/>
      <c r="Z48" s="328"/>
      <c r="AA48" s="328"/>
      <c r="AB48" s="273"/>
      <c r="AC48" s="273"/>
      <c r="AD48" s="328"/>
      <c r="AE48" s="273"/>
      <c r="AF48" s="273"/>
      <c r="AG48" s="328">
        <v>108652171</v>
      </c>
      <c r="AH48" s="273"/>
      <c r="AI48" s="165"/>
      <c r="AJ48" s="233"/>
    </row>
    <row r="49" spans="1:36">
      <c r="A49" s="166" t="s">
        <v>673</v>
      </c>
      <c r="B49" s="191"/>
      <c r="C49" s="168"/>
      <c r="D49" s="168"/>
      <c r="E49" s="273"/>
      <c r="F49" s="273"/>
      <c r="G49" s="273"/>
      <c r="H49" s="167"/>
      <c r="I49" s="167"/>
      <c r="J49" s="167"/>
      <c r="K49" s="167"/>
      <c r="L49" s="167"/>
      <c r="M49" s="273"/>
      <c r="N49" s="273"/>
      <c r="O49" s="167"/>
      <c r="P49" s="328"/>
      <c r="Q49" s="328"/>
      <c r="R49" s="328"/>
      <c r="S49" s="328"/>
      <c r="T49" s="328"/>
      <c r="U49" s="273"/>
      <c r="V49" s="273"/>
      <c r="W49" s="328"/>
      <c r="X49" s="328"/>
      <c r="Y49" s="328"/>
      <c r="Z49" s="328"/>
      <c r="AA49" s="328"/>
      <c r="AB49" s="273"/>
      <c r="AC49" s="273"/>
      <c r="AD49" s="328"/>
      <c r="AE49" s="273"/>
      <c r="AF49" s="273"/>
      <c r="AG49" s="328">
        <v>572491141</v>
      </c>
      <c r="AH49" s="273"/>
      <c r="AI49" s="165"/>
      <c r="AJ49" s="233"/>
    </row>
    <row r="50" spans="1:36">
      <c r="A50" s="166" t="s">
        <v>674</v>
      </c>
      <c r="B50" s="191"/>
      <c r="C50" s="168"/>
      <c r="D50" s="168"/>
      <c r="E50" s="273"/>
      <c r="F50" s="273"/>
      <c r="G50" s="273"/>
      <c r="H50" s="167"/>
      <c r="I50" s="167"/>
      <c r="J50" s="167"/>
      <c r="K50" s="167"/>
      <c r="L50" s="167"/>
      <c r="M50" s="273"/>
      <c r="N50" s="273"/>
      <c r="O50" s="167"/>
      <c r="P50" s="328"/>
      <c r="Q50" s="328"/>
      <c r="R50" s="328"/>
      <c r="S50" s="328"/>
      <c r="T50" s="328"/>
      <c r="U50" s="273"/>
      <c r="V50" s="273"/>
      <c r="W50" s="328"/>
      <c r="X50" s="328"/>
      <c r="Y50" s="328"/>
      <c r="Z50" s="328"/>
      <c r="AA50" s="328"/>
      <c r="AB50" s="273"/>
      <c r="AC50" s="273"/>
      <c r="AD50" s="328"/>
      <c r="AE50" s="273"/>
      <c r="AF50" s="273"/>
      <c r="AG50" s="328">
        <v>97350602</v>
      </c>
      <c r="AH50" s="273"/>
      <c r="AI50" s="165"/>
      <c r="AJ50" s="233"/>
    </row>
    <row r="51" spans="1:36">
      <c r="A51" s="166" t="s">
        <v>27</v>
      </c>
      <c r="B51" s="191"/>
      <c r="C51" s="273"/>
      <c r="D51" s="273"/>
      <c r="E51" s="273"/>
      <c r="F51" s="273"/>
      <c r="G51" s="273"/>
      <c r="H51" s="273"/>
      <c r="I51" s="171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>
        <f>88530000-9657000</f>
        <v>78873000</v>
      </c>
      <c r="W51" s="273"/>
      <c r="X51" s="273"/>
      <c r="Y51" s="273"/>
      <c r="Z51" s="273"/>
      <c r="AA51" s="273"/>
      <c r="AB51" s="273"/>
      <c r="AC51" s="273">
        <v>194085000</v>
      </c>
      <c r="AD51" s="273"/>
      <c r="AE51" s="273"/>
      <c r="AF51" s="273"/>
      <c r="AG51" s="273"/>
      <c r="AH51" s="273"/>
      <c r="AI51" s="165"/>
      <c r="AJ51" s="233"/>
    </row>
    <row r="52" spans="1:36">
      <c r="A52" s="187" t="s">
        <v>422</v>
      </c>
      <c r="B52" s="191"/>
      <c r="C52" s="273"/>
      <c r="D52" s="273"/>
      <c r="E52" s="273"/>
      <c r="F52" s="273"/>
      <c r="G52" s="273"/>
      <c r="H52" s="273"/>
      <c r="I52" s="171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3"/>
      <c r="AH52" s="273"/>
      <c r="AI52" s="165"/>
      <c r="AJ52" s="233"/>
    </row>
    <row r="53" spans="1:36">
      <c r="A53" s="187" t="s">
        <v>423</v>
      </c>
      <c r="B53" s="191"/>
      <c r="C53" s="273"/>
      <c r="D53" s="273"/>
      <c r="E53" s="273"/>
      <c r="F53" s="273"/>
      <c r="G53" s="273"/>
      <c r="H53" s="273"/>
      <c r="I53" s="171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73"/>
      <c r="Z53" s="273"/>
      <c r="AA53" s="273"/>
      <c r="AB53" s="273"/>
      <c r="AC53" s="273"/>
      <c r="AD53" s="273"/>
      <c r="AE53" s="273"/>
      <c r="AF53" s="273"/>
      <c r="AG53" s="273"/>
      <c r="AH53" s="273"/>
      <c r="AI53" s="165"/>
      <c r="AJ53" s="233"/>
    </row>
    <row r="54" spans="1:36">
      <c r="A54" s="187" t="s">
        <v>424</v>
      </c>
      <c r="B54" s="191"/>
      <c r="C54" s="273"/>
      <c r="D54" s="273"/>
      <c r="E54" s="273"/>
      <c r="F54" s="273"/>
      <c r="G54" s="273"/>
      <c r="H54" s="273"/>
      <c r="I54" s="171"/>
      <c r="J54" s="273"/>
      <c r="K54" s="171"/>
      <c r="L54" s="171"/>
      <c r="M54" s="171"/>
      <c r="N54" s="273"/>
      <c r="O54" s="171"/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  <c r="AA54" s="273"/>
      <c r="AB54" s="273"/>
      <c r="AC54" s="273"/>
      <c r="AD54" s="273"/>
      <c r="AE54" s="273"/>
      <c r="AF54" s="273"/>
      <c r="AG54" s="273"/>
      <c r="AH54" s="273"/>
      <c r="AI54" s="165"/>
      <c r="AJ54" s="233"/>
    </row>
    <row r="55" spans="1:36">
      <c r="A55" s="166" t="s">
        <v>30</v>
      </c>
      <c r="B55" s="191"/>
      <c r="C55" s="171"/>
      <c r="D55" s="171"/>
      <c r="E55" s="170"/>
      <c r="F55" s="273"/>
      <c r="G55" s="170"/>
      <c r="H55" s="170"/>
      <c r="I55" s="171"/>
      <c r="J55" s="170"/>
      <c r="K55" s="171"/>
      <c r="L55" s="171"/>
      <c r="M55" s="171"/>
      <c r="N55" s="170"/>
      <c r="O55" s="171"/>
      <c r="P55" s="170"/>
      <c r="Q55" s="170"/>
      <c r="R55" s="170"/>
      <c r="S55" s="170"/>
      <c r="T55" s="170"/>
      <c r="U55" s="273"/>
      <c r="V55" s="273"/>
      <c r="W55" s="170"/>
      <c r="X55" s="273"/>
      <c r="Y55" s="273"/>
      <c r="Z55" s="171"/>
      <c r="AA55" s="171"/>
      <c r="AB55" s="170"/>
      <c r="AC55" s="273"/>
      <c r="AD55" s="170"/>
      <c r="AE55" s="170"/>
      <c r="AF55" s="273"/>
      <c r="AG55" s="170"/>
      <c r="AH55" s="170"/>
      <c r="AI55" s="165"/>
      <c r="AJ55" s="170"/>
    </row>
    <row r="56" spans="1:36">
      <c r="A56" s="166" t="s">
        <v>347</v>
      </c>
      <c r="B56" s="191"/>
      <c r="C56" s="273"/>
      <c r="D56" s="273"/>
      <c r="E56" s="171"/>
      <c r="F56" s="273"/>
      <c r="G56" s="171"/>
      <c r="H56" s="171"/>
      <c r="I56" s="171"/>
      <c r="J56" s="170"/>
      <c r="K56" s="171">
        <v>220319460</v>
      </c>
      <c r="L56" s="171"/>
      <c r="M56" s="171"/>
      <c r="N56" s="170"/>
      <c r="O56" s="171">
        <v>55079865</v>
      </c>
      <c r="P56" s="170"/>
      <c r="Q56" s="170"/>
      <c r="R56" s="170"/>
      <c r="S56" s="170"/>
      <c r="T56" s="170"/>
      <c r="U56" s="273"/>
      <c r="V56" s="273"/>
      <c r="W56" s="171"/>
      <c r="X56" s="273"/>
      <c r="Y56" s="273"/>
      <c r="Z56" s="273"/>
      <c r="AA56" s="273"/>
      <c r="AB56" s="171"/>
      <c r="AC56" s="273"/>
      <c r="AD56" s="171"/>
      <c r="AE56" s="171"/>
      <c r="AF56" s="273"/>
      <c r="AG56" s="170"/>
      <c r="AH56" s="170"/>
      <c r="AI56" s="165"/>
      <c r="AJ56" s="170"/>
    </row>
    <row r="57" spans="1:36">
      <c r="A57" s="192" t="s">
        <v>476</v>
      </c>
      <c r="B57" s="191"/>
      <c r="C57" s="273"/>
      <c r="D57" s="273"/>
      <c r="E57" s="273"/>
      <c r="F57" s="273"/>
      <c r="G57" s="273"/>
      <c r="H57" s="273"/>
      <c r="I57" s="171"/>
      <c r="J57" s="273"/>
      <c r="K57" s="171"/>
      <c r="L57" s="171"/>
      <c r="M57" s="171"/>
      <c r="N57" s="273"/>
      <c r="O57" s="171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165"/>
      <c r="AJ57" s="167"/>
    </row>
    <row r="58" spans="1:36">
      <c r="A58" s="192" t="s">
        <v>693</v>
      </c>
      <c r="B58" s="191"/>
      <c r="C58" s="175"/>
      <c r="D58" s="175"/>
      <c r="E58" s="175"/>
      <c r="F58" s="273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2">
        <f>733467465+579080531+375049788</f>
        <v>1687597784</v>
      </c>
      <c r="AA58" s="175"/>
      <c r="AB58" s="175"/>
      <c r="AC58" s="273"/>
      <c r="AD58" s="175"/>
      <c r="AE58" s="175"/>
      <c r="AF58" s="273"/>
      <c r="AG58" s="273"/>
      <c r="AH58" s="273"/>
      <c r="AI58" s="165"/>
      <c r="AJ58" s="167"/>
    </row>
    <row r="59" spans="1:36">
      <c r="A59" s="192" t="s">
        <v>670</v>
      </c>
      <c r="B59" s="191"/>
      <c r="C59" s="175"/>
      <c r="D59" s="175"/>
      <c r="E59" s="175"/>
      <c r="F59" s="273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>
        <f>35000000*5</f>
        <v>175000000</v>
      </c>
      <c r="AG59" s="273"/>
      <c r="AH59" s="273"/>
      <c r="AI59" s="165"/>
      <c r="AJ59" s="167"/>
    </row>
    <row r="60" spans="1:36">
      <c r="A60" s="192" t="s">
        <v>213</v>
      </c>
      <c r="B60" s="191"/>
      <c r="C60" s="273"/>
      <c r="D60" s="273"/>
      <c r="E60" s="273"/>
      <c r="F60" s="273"/>
      <c r="G60" s="273"/>
      <c r="H60" s="273">
        <v>500000000</v>
      </c>
      <c r="I60" s="273"/>
      <c r="J60" s="273"/>
      <c r="K60" s="273"/>
      <c r="L60" s="273"/>
      <c r="M60" s="171"/>
      <c r="N60" s="171"/>
      <c r="O60" s="273"/>
      <c r="P60" s="273"/>
      <c r="Q60" s="273"/>
      <c r="R60" s="273"/>
      <c r="S60" s="273"/>
      <c r="T60" s="273"/>
      <c r="U60" s="273"/>
      <c r="V60" s="273"/>
      <c r="W60" s="273"/>
      <c r="X60" s="273"/>
      <c r="Y60" s="273"/>
      <c r="Z60" s="273"/>
      <c r="AA60" s="273"/>
      <c r="AB60" s="273"/>
      <c r="AC60" s="273"/>
      <c r="AD60" s="273"/>
      <c r="AE60" s="273"/>
      <c r="AF60" s="273"/>
      <c r="AG60" s="273"/>
      <c r="AH60" s="273"/>
      <c r="AI60" s="165"/>
      <c r="AJ60" s="167"/>
    </row>
    <row r="61" spans="1:36">
      <c r="A61" s="192" t="s">
        <v>679</v>
      </c>
      <c r="B61" s="191"/>
      <c r="C61" s="273"/>
      <c r="D61" s="273"/>
      <c r="E61" s="273"/>
      <c r="F61" s="273"/>
      <c r="G61" s="273"/>
      <c r="H61" s="273"/>
      <c r="I61" s="273"/>
      <c r="J61" s="273"/>
      <c r="K61" s="273"/>
      <c r="L61" s="273"/>
      <c r="M61" s="171"/>
      <c r="N61" s="171"/>
      <c r="O61" s="273"/>
      <c r="P61" s="273"/>
      <c r="Q61" s="273"/>
      <c r="R61" s="273">
        <v>15664000</v>
      </c>
      <c r="S61" s="273"/>
      <c r="T61" s="273"/>
      <c r="U61" s="273"/>
      <c r="V61" s="273"/>
      <c r="W61" s="273"/>
      <c r="X61" s="273"/>
      <c r="Y61" s="273"/>
      <c r="Z61" s="273"/>
      <c r="AA61" s="273"/>
      <c r="AB61" s="273"/>
      <c r="AC61" s="273"/>
      <c r="AD61" s="273"/>
      <c r="AE61" s="273"/>
      <c r="AF61" s="273"/>
      <c r="AG61" s="273"/>
      <c r="AH61" s="273"/>
      <c r="AI61" s="165"/>
      <c r="AJ61" s="167"/>
    </row>
    <row r="62" spans="1:36">
      <c r="A62" s="192" t="s">
        <v>613</v>
      </c>
      <c r="B62" s="191"/>
      <c r="C62" s="273"/>
      <c r="D62" s="273"/>
      <c r="E62" s="273"/>
      <c r="F62" s="273"/>
      <c r="G62" s="273"/>
      <c r="H62" s="273"/>
      <c r="I62" s="273"/>
      <c r="J62" s="273"/>
      <c r="K62" s="273"/>
      <c r="L62" s="273"/>
      <c r="M62" s="171"/>
      <c r="N62" s="171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>
        <v>58116906</v>
      </c>
      <c r="AA62" s="273"/>
      <c r="AB62" s="273"/>
      <c r="AC62" s="273"/>
      <c r="AD62" s="273"/>
      <c r="AE62" s="273"/>
      <c r="AF62" s="273"/>
      <c r="AG62" s="273"/>
      <c r="AH62" s="273"/>
      <c r="AI62" s="165"/>
      <c r="AJ62" s="167"/>
    </row>
    <row r="63" spans="1:36">
      <c r="A63" s="192" t="s">
        <v>119</v>
      </c>
      <c r="B63" s="191"/>
      <c r="C63" s="175"/>
      <c r="D63" s="175"/>
      <c r="E63" s="175"/>
      <c r="F63" s="171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>
        <v>6000000000</v>
      </c>
      <c r="AG63" s="171"/>
      <c r="AH63" s="171"/>
      <c r="AI63" s="165"/>
      <c r="AJ63" s="175"/>
    </row>
    <row r="64" spans="1:36">
      <c r="A64" s="195" t="s">
        <v>32</v>
      </c>
      <c r="B64" s="196"/>
      <c r="C64" s="197">
        <f t="shared" ref="C64:AI64" si="0">SUM(C7:C63)</f>
        <v>0</v>
      </c>
      <c r="D64" s="197">
        <f t="shared" si="0"/>
        <v>0</v>
      </c>
      <c r="E64" s="197">
        <f t="shared" si="0"/>
        <v>0</v>
      </c>
      <c r="F64" s="197">
        <f t="shared" si="0"/>
        <v>0</v>
      </c>
      <c r="G64" s="197">
        <f t="shared" si="0"/>
        <v>0</v>
      </c>
      <c r="H64" s="197">
        <f t="shared" si="0"/>
        <v>618901568</v>
      </c>
      <c r="I64" s="197">
        <f t="shared" si="0"/>
        <v>2133043388</v>
      </c>
      <c r="J64" s="197">
        <f t="shared" si="0"/>
        <v>697894483</v>
      </c>
      <c r="K64" s="197">
        <f t="shared" si="0"/>
        <v>378659964</v>
      </c>
      <c r="L64" s="197">
        <f t="shared" si="0"/>
        <v>54608401</v>
      </c>
      <c r="M64" s="197">
        <f t="shared" si="0"/>
        <v>0</v>
      </c>
      <c r="N64" s="197">
        <f t="shared" si="0"/>
        <v>0</v>
      </c>
      <c r="O64" s="197">
        <f t="shared" si="0"/>
        <v>379816388</v>
      </c>
      <c r="P64" s="197">
        <f t="shared" si="0"/>
        <v>111872174</v>
      </c>
      <c r="Q64" s="197">
        <f t="shared" si="0"/>
        <v>2861968</v>
      </c>
      <c r="R64" s="197">
        <f t="shared" si="0"/>
        <v>15664000</v>
      </c>
      <c r="S64" s="197">
        <f t="shared" si="0"/>
        <v>136491425</v>
      </c>
      <c r="T64" s="197">
        <f t="shared" si="0"/>
        <v>0</v>
      </c>
      <c r="U64" s="197">
        <f t="shared" si="0"/>
        <v>0</v>
      </c>
      <c r="V64" s="197">
        <f t="shared" si="0"/>
        <v>156171480</v>
      </c>
      <c r="W64" s="197">
        <f t="shared" si="0"/>
        <v>303211231</v>
      </c>
      <c r="X64" s="197">
        <f t="shared" si="0"/>
        <v>0</v>
      </c>
      <c r="Y64" s="197">
        <f t="shared" si="0"/>
        <v>561944377</v>
      </c>
      <c r="Z64" s="197">
        <f t="shared" si="0"/>
        <v>1772485202</v>
      </c>
      <c r="AA64" s="197">
        <f t="shared" si="0"/>
        <v>0</v>
      </c>
      <c r="AB64" s="197">
        <f t="shared" si="0"/>
        <v>0</v>
      </c>
      <c r="AC64" s="197">
        <f t="shared" si="0"/>
        <v>729095778</v>
      </c>
      <c r="AD64" s="197">
        <f t="shared" si="0"/>
        <v>1294524788</v>
      </c>
      <c r="AE64" s="197">
        <f t="shared" si="0"/>
        <v>0</v>
      </c>
      <c r="AF64" s="197">
        <f t="shared" si="0"/>
        <v>7914066492</v>
      </c>
      <c r="AG64" s="197">
        <f t="shared" si="0"/>
        <v>1990064866</v>
      </c>
      <c r="AH64" s="197">
        <f t="shared" si="0"/>
        <v>0</v>
      </c>
      <c r="AI64" s="197">
        <f t="shared" si="0"/>
        <v>0</v>
      </c>
    </row>
    <row r="65" spans="1:38">
      <c r="A65" s="199"/>
      <c r="B65" s="162"/>
      <c r="C65" s="190">
        <v>0</v>
      </c>
      <c r="D65" s="190">
        <v>0</v>
      </c>
      <c r="E65" s="190">
        <v>0</v>
      </c>
      <c r="F65" s="165"/>
      <c r="G65" s="165"/>
      <c r="H65" s="165"/>
      <c r="I65" s="165"/>
      <c r="J65" s="200"/>
      <c r="K65" s="200"/>
      <c r="L65" s="165"/>
      <c r="M65" s="165"/>
      <c r="N65" s="165"/>
      <c r="O65" s="200"/>
      <c r="P65" s="165"/>
      <c r="Q65" s="165"/>
      <c r="R65" s="165"/>
      <c r="S65" s="165"/>
      <c r="T65" s="165"/>
      <c r="U65" s="165"/>
      <c r="V65" s="165"/>
      <c r="W65" s="190">
        <v>0</v>
      </c>
      <c r="X65" s="190">
        <v>0</v>
      </c>
      <c r="Y65" s="190">
        <v>0</v>
      </c>
      <c r="Z65" s="190">
        <v>0</v>
      </c>
      <c r="AA65" s="190">
        <v>0</v>
      </c>
      <c r="AB65" s="190">
        <v>0</v>
      </c>
      <c r="AC65" s="165"/>
      <c r="AD65" s="165"/>
      <c r="AE65" s="165"/>
      <c r="AF65" s="165"/>
      <c r="AG65" s="165"/>
      <c r="AH65" s="165"/>
      <c r="AI65" s="201"/>
      <c r="AJ65" s="154"/>
    </row>
    <row r="66" spans="1:38">
      <c r="A66" s="202" t="s">
        <v>33</v>
      </c>
      <c r="B66" s="162"/>
      <c r="C66" s="165"/>
      <c r="D66" s="200"/>
      <c r="E66" s="200"/>
      <c r="F66" s="165"/>
      <c r="G66" s="165"/>
      <c r="H66" s="165"/>
      <c r="I66" s="165"/>
      <c r="J66" s="200"/>
      <c r="K66" s="200"/>
      <c r="L66" s="165"/>
      <c r="M66" s="165"/>
      <c r="N66" s="165"/>
      <c r="O66" s="200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200"/>
      <c r="AB66" s="200"/>
      <c r="AC66" s="165"/>
      <c r="AD66" s="165"/>
      <c r="AE66" s="165"/>
      <c r="AF66" s="165"/>
      <c r="AG66" s="165"/>
      <c r="AH66" s="165"/>
      <c r="AI66" s="201">
        <f t="shared" ref="AI66:AI91" si="1">SUM(B66:AG66)</f>
        <v>0</v>
      </c>
      <c r="AJ66" s="154"/>
    </row>
    <row r="67" spans="1:38">
      <c r="A67" s="203" t="s">
        <v>34</v>
      </c>
      <c r="B67" s="204"/>
      <c r="C67" s="164"/>
      <c r="D67" s="164"/>
      <c r="E67" s="164"/>
      <c r="F67" s="164"/>
      <c r="G67" s="164"/>
      <c r="H67" s="164">
        <v>1882364449</v>
      </c>
      <c r="I67" s="164"/>
      <c r="J67" s="164"/>
      <c r="K67" s="164">
        <v>3539018910</v>
      </c>
      <c r="L67" s="164"/>
      <c r="M67" s="164"/>
      <c r="N67" s="164"/>
      <c r="O67" s="208"/>
      <c r="P67" s="164"/>
      <c r="Q67" s="164"/>
      <c r="R67" s="164"/>
      <c r="S67" s="164"/>
      <c r="T67" s="164"/>
      <c r="U67" s="306"/>
      <c r="V67" s="164">
        <v>3434927376</v>
      </c>
      <c r="W67" s="190"/>
      <c r="X67" s="164"/>
      <c r="Y67" s="164">
        <v>2769956126</v>
      </c>
      <c r="Z67" s="164"/>
      <c r="AA67" s="164"/>
      <c r="AB67" s="164"/>
      <c r="AC67" s="164">
        <v>1117021043</v>
      </c>
      <c r="AD67" s="164"/>
      <c r="AE67" s="164"/>
      <c r="AF67" s="164"/>
      <c r="AG67" s="164"/>
      <c r="AH67" s="190"/>
      <c r="AI67" s="201">
        <f t="shared" si="1"/>
        <v>12743287904</v>
      </c>
      <c r="AJ67" s="173"/>
    </row>
    <row r="68" spans="1:38">
      <c r="A68" s="203" t="s">
        <v>34</v>
      </c>
      <c r="B68" s="204"/>
      <c r="C68" s="164"/>
      <c r="D68" s="164"/>
      <c r="E68" s="164"/>
      <c r="F68" s="164"/>
      <c r="G68" s="164"/>
      <c r="H68" s="164"/>
      <c r="I68" s="164"/>
      <c r="J68" s="164"/>
      <c r="K68" s="319"/>
      <c r="L68" s="164"/>
      <c r="M68" s="164"/>
      <c r="N68" s="164"/>
      <c r="O68" s="208"/>
      <c r="P68" s="164"/>
      <c r="Q68" s="164"/>
      <c r="R68" s="164"/>
      <c r="S68" s="164"/>
      <c r="T68" s="164"/>
      <c r="U68" s="306"/>
      <c r="V68" s="164"/>
      <c r="W68" s="190"/>
      <c r="X68" s="164"/>
      <c r="Y68" s="164">
        <v>2653821393</v>
      </c>
      <c r="Z68" s="164"/>
      <c r="AA68" s="164"/>
      <c r="AB68" s="164"/>
      <c r="AC68" s="164"/>
      <c r="AD68" s="164"/>
      <c r="AE68" s="164"/>
      <c r="AF68" s="164"/>
      <c r="AG68" s="164"/>
      <c r="AH68" s="190"/>
      <c r="AI68" s="201"/>
      <c r="AJ68" s="173"/>
    </row>
    <row r="69" spans="1:38">
      <c r="A69" s="203" t="s">
        <v>198</v>
      </c>
      <c r="B69" s="204"/>
      <c r="C69" s="164"/>
      <c r="D69" s="164"/>
      <c r="E69" s="164"/>
      <c r="F69" s="164"/>
      <c r="G69" s="164"/>
      <c r="H69" s="190"/>
      <c r="I69" s="164"/>
      <c r="J69" s="164"/>
      <c r="K69" s="164"/>
      <c r="L69" s="164">
        <v>17301870</v>
      </c>
      <c r="M69" s="164"/>
      <c r="N69" s="164"/>
      <c r="O69" s="208"/>
      <c r="P69" s="164"/>
      <c r="Q69" s="164"/>
      <c r="R69" s="164"/>
      <c r="S69" s="164"/>
      <c r="T69" s="164"/>
      <c r="U69" s="306"/>
      <c r="V69" s="164"/>
      <c r="W69" s="190"/>
      <c r="X69" s="164"/>
      <c r="Y69" s="164">
        <v>21008509</v>
      </c>
      <c r="Z69" s="164"/>
      <c r="AA69" s="164"/>
      <c r="AB69" s="164"/>
      <c r="AC69" s="164">
        <v>3226950</v>
      </c>
      <c r="AD69" s="164"/>
      <c r="AE69" s="190"/>
      <c r="AF69" s="164"/>
      <c r="AG69" s="164"/>
      <c r="AH69" s="190"/>
      <c r="AI69" s="201">
        <f t="shared" si="1"/>
        <v>41537329</v>
      </c>
      <c r="AJ69" s="173"/>
    </row>
    <row r="70" spans="1:38">
      <c r="A70" s="203" t="s">
        <v>227</v>
      </c>
      <c r="B70" s="204"/>
      <c r="C70" s="164"/>
      <c r="D70" s="164"/>
      <c r="E70" s="164"/>
      <c r="F70" s="164"/>
      <c r="G70" s="164"/>
      <c r="H70" s="306">
        <v>2398066736</v>
      </c>
      <c r="I70" s="164"/>
      <c r="J70" s="164"/>
      <c r="K70" s="164">
        <v>680719460</v>
      </c>
      <c r="L70" s="164"/>
      <c r="M70" s="164"/>
      <c r="N70" s="164"/>
      <c r="O70" s="208"/>
      <c r="P70" s="164"/>
      <c r="Q70" s="164">
        <v>3018255156</v>
      </c>
      <c r="R70" s="164"/>
      <c r="S70" s="164"/>
      <c r="T70" s="164"/>
      <c r="U70" s="306"/>
      <c r="V70" s="164"/>
      <c r="W70" s="190"/>
      <c r="X70" s="164"/>
      <c r="Y70" s="164"/>
      <c r="Z70" s="164"/>
      <c r="AA70" s="164"/>
      <c r="AB70" s="164"/>
      <c r="AC70" s="164"/>
      <c r="AD70" s="164"/>
      <c r="AE70" s="306"/>
      <c r="AF70" s="164"/>
      <c r="AG70" s="164"/>
      <c r="AH70" s="190"/>
      <c r="AI70" s="201">
        <f t="shared" si="1"/>
        <v>6097041352</v>
      </c>
      <c r="AJ70" s="173"/>
    </row>
    <row r="71" spans="1:38">
      <c r="A71" s="203" t="s">
        <v>227</v>
      </c>
      <c r="B71" s="204"/>
      <c r="C71" s="164"/>
      <c r="D71" s="164"/>
      <c r="E71" s="164"/>
      <c r="F71" s="164"/>
      <c r="G71" s="190"/>
      <c r="H71" s="190"/>
      <c r="I71" s="164"/>
      <c r="J71" s="164"/>
      <c r="K71" s="319">
        <v>4585722587</v>
      </c>
      <c r="L71" s="164"/>
      <c r="M71" s="164"/>
      <c r="N71" s="164"/>
      <c r="O71" s="208"/>
      <c r="P71" s="164"/>
      <c r="Q71" s="164">
        <v>2732170071</v>
      </c>
      <c r="R71" s="164"/>
      <c r="S71" s="164"/>
      <c r="T71" s="164"/>
      <c r="U71" s="306"/>
      <c r="V71" s="164"/>
      <c r="W71" s="164"/>
      <c r="X71" s="164"/>
      <c r="Y71" s="164"/>
      <c r="Z71" s="164"/>
      <c r="AA71" s="164"/>
      <c r="AB71" s="164"/>
      <c r="AC71" s="164"/>
      <c r="AD71" s="190"/>
      <c r="AE71" s="190"/>
      <c r="AF71" s="164"/>
      <c r="AG71" s="164"/>
      <c r="AH71" s="190"/>
      <c r="AI71" s="201">
        <f t="shared" si="1"/>
        <v>7317892658</v>
      </c>
      <c r="AJ71" s="173"/>
    </row>
    <row r="72" spans="1:38">
      <c r="A72" s="203" t="s">
        <v>227</v>
      </c>
      <c r="B72" s="204"/>
      <c r="C72" s="164"/>
      <c r="D72" s="164"/>
      <c r="E72" s="164"/>
      <c r="F72" s="164"/>
      <c r="G72" s="190"/>
      <c r="H72" s="307"/>
      <c r="I72" s="164"/>
      <c r="J72" s="164"/>
      <c r="K72" s="164"/>
      <c r="L72" s="164"/>
      <c r="M72" s="164"/>
      <c r="N72" s="164"/>
      <c r="O72" s="208"/>
      <c r="P72" s="164"/>
      <c r="Q72" s="164">
        <v>1304556831</v>
      </c>
      <c r="R72" s="164"/>
      <c r="S72" s="164"/>
      <c r="T72" s="164"/>
      <c r="U72" s="306"/>
      <c r="V72" s="190"/>
      <c r="W72" s="164"/>
      <c r="X72" s="164"/>
      <c r="Y72" s="164"/>
      <c r="Z72" s="164"/>
      <c r="AA72" s="164"/>
      <c r="AB72" s="164"/>
      <c r="AC72" s="164"/>
      <c r="AD72" s="190"/>
      <c r="AE72" s="307"/>
      <c r="AF72" s="164"/>
      <c r="AG72" s="164"/>
      <c r="AH72" s="190"/>
      <c r="AI72" s="201">
        <f t="shared" si="1"/>
        <v>1304556831</v>
      </c>
      <c r="AJ72" s="173"/>
    </row>
    <row r="73" spans="1:38">
      <c r="A73" s="203" t="s">
        <v>227</v>
      </c>
      <c r="B73" s="204"/>
      <c r="C73" s="164"/>
      <c r="D73" s="164"/>
      <c r="E73" s="164"/>
      <c r="F73" s="164"/>
      <c r="G73" s="190"/>
      <c r="H73" s="307"/>
      <c r="I73" s="164"/>
      <c r="J73" s="164"/>
      <c r="K73" s="164"/>
      <c r="L73" s="164"/>
      <c r="M73" s="164"/>
      <c r="N73" s="164"/>
      <c r="O73" s="208"/>
      <c r="P73" s="164"/>
      <c r="Q73" s="164"/>
      <c r="R73" s="164"/>
      <c r="S73" s="164"/>
      <c r="T73" s="164"/>
      <c r="U73" s="306"/>
      <c r="V73" s="190"/>
      <c r="W73" s="164"/>
      <c r="X73" s="164"/>
      <c r="Y73" s="164"/>
      <c r="Z73" s="164"/>
      <c r="AA73" s="164"/>
      <c r="AB73" s="164"/>
      <c r="AC73" s="164"/>
      <c r="AD73" s="190"/>
      <c r="AE73" s="307"/>
      <c r="AF73" s="164"/>
      <c r="AG73" s="164"/>
      <c r="AH73" s="190"/>
      <c r="AI73" s="201">
        <f t="shared" si="1"/>
        <v>0</v>
      </c>
      <c r="AJ73" s="173"/>
    </row>
    <row r="74" spans="1:38">
      <c r="A74" s="203" t="s">
        <v>199</v>
      </c>
      <c r="B74" s="204"/>
      <c r="C74" s="164"/>
      <c r="D74" s="164"/>
      <c r="E74" s="164"/>
      <c r="F74" s="164"/>
      <c r="G74" s="172"/>
      <c r="H74" s="306"/>
      <c r="I74" s="164"/>
      <c r="J74" s="164"/>
      <c r="K74" s="164"/>
      <c r="L74" s="164">
        <v>25747050</v>
      </c>
      <c r="M74" s="164"/>
      <c r="N74" s="164"/>
      <c r="O74" s="208"/>
      <c r="P74" s="164"/>
      <c r="Q74" s="171"/>
      <c r="R74" s="164">
        <v>37626572</v>
      </c>
      <c r="S74" s="164"/>
      <c r="T74" s="208"/>
      <c r="U74" s="306"/>
      <c r="V74" s="164"/>
      <c r="W74" s="164"/>
      <c r="X74" s="164"/>
      <c r="Y74" s="164"/>
      <c r="Z74" s="164">
        <v>46158769</v>
      </c>
      <c r="AA74" s="164"/>
      <c r="AB74" s="164"/>
      <c r="AC74" s="164">
        <v>29289530</v>
      </c>
      <c r="AD74" s="172"/>
      <c r="AE74" s="306"/>
      <c r="AF74" s="208"/>
      <c r="AG74" s="164"/>
      <c r="AH74" s="190"/>
      <c r="AI74" s="201">
        <f t="shared" si="1"/>
        <v>138821921</v>
      </c>
      <c r="AJ74" s="173"/>
      <c r="AL74" s="150" t="s">
        <v>253</v>
      </c>
    </row>
    <row r="75" spans="1:38">
      <c r="A75" s="203" t="s">
        <v>199</v>
      </c>
      <c r="B75" s="204"/>
      <c r="C75" s="164"/>
      <c r="D75" s="164"/>
      <c r="E75" s="164"/>
      <c r="F75" s="164"/>
      <c r="G75" s="172"/>
      <c r="H75" s="306"/>
      <c r="I75" s="164"/>
      <c r="J75" s="164"/>
      <c r="K75" s="164"/>
      <c r="L75" s="308"/>
      <c r="M75" s="164"/>
      <c r="N75" s="164"/>
      <c r="O75" s="208"/>
      <c r="P75" s="164"/>
      <c r="Q75" s="171"/>
      <c r="R75" s="164"/>
      <c r="S75" s="164"/>
      <c r="T75" s="208"/>
      <c r="U75" s="306"/>
      <c r="V75" s="164"/>
      <c r="W75" s="164"/>
      <c r="X75" s="164"/>
      <c r="Y75" s="164"/>
      <c r="Z75" s="164"/>
      <c r="AA75" s="164"/>
      <c r="AB75" s="164"/>
      <c r="AC75" s="164"/>
      <c r="AD75" s="172"/>
      <c r="AE75" s="306"/>
      <c r="AF75" s="208"/>
      <c r="AG75" s="164"/>
      <c r="AH75" s="190"/>
      <c r="AI75" s="201"/>
      <c r="AJ75" s="173"/>
    </row>
    <row r="76" spans="1:38">
      <c r="A76" s="203" t="s">
        <v>228</v>
      </c>
      <c r="B76" s="204"/>
      <c r="C76" s="164"/>
      <c r="D76" s="164"/>
      <c r="E76" s="164"/>
      <c r="F76" s="164"/>
      <c r="G76" s="190"/>
      <c r="H76" s="164">
        <v>3050137884</v>
      </c>
      <c r="I76" s="164"/>
      <c r="J76" s="164"/>
      <c r="K76" s="164"/>
      <c r="L76" s="308"/>
      <c r="M76" s="164"/>
      <c r="N76" s="164"/>
      <c r="O76" s="208"/>
      <c r="P76" s="208"/>
      <c r="Q76" s="164">
        <v>2536810525</v>
      </c>
      <c r="R76" s="164"/>
      <c r="S76" s="164"/>
      <c r="T76" s="208"/>
      <c r="U76" s="309"/>
      <c r="V76" s="190"/>
      <c r="W76" s="164"/>
      <c r="X76" s="164"/>
      <c r="Y76" s="164">
        <v>2427764763</v>
      </c>
      <c r="Z76" s="164"/>
      <c r="AA76" s="164"/>
      <c r="AB76" s="164"/>
      <c r="AC76" s="164"/>
      <c r="AD76" s="190"/>
      <c r="AE76" s="164"/>
      <c r="AF76" s="208"/>
      <c r="AG76" s="164"/>
      <c r="AH76" s="190"/>
      <c r="AI76" s="201">
        <f t="shared" si="1"/>
        <v>8014713172</v>
      </c>
      <c r="AJ76" s="173"/>
    </row>
    <row r="77" spans="1:38">
      <c r="A77" s="203" t="s">
        <v>200</v>
      </c>
      <c r="B77" s="204"/>
      <c r="C77" s="164"/>
      <c r="D77" s="164"/>
      <c r="E77" s="164"/>
      <c r="F77" s="164"/>
      <c r="G77" s="190"/>
      <c r="H77" s="164"/>
      <c r="I77" s="164"/>
      <c r="J77" s="164"/>
      <c r="K77" s="164"/>
      <c r="L77" s="308"/>
      <c r="M77" s="164"/>
      <c r="N77" s="164"/>
      <c r="O77" s="208"/>
      <c r="P77" s="208"/>
      <c r="Q77" s="164"/>
      <c r="R77" s="164">
        <v>14375260</v>
      </c>
      <c r="S77" s="164"/>
      <c r="T77" s="208"/>
      <c r="U77" s="208"/>
      <c r="V77" s="164"/>
      <c r="W77" s="164"/>
      <c r="X77" s="164"/>
      <c r="Y77" s="164">
        <v>8434282</v>
      </c>
      <c r="Z77" s="164"/>
      <c r="AA77" s="164"/>
      <c r="AB77" s="164"/>
      <c r="AC77" s="164"/>
      <c r="AD77" s="190"/>
      <c r="AE77" s="164"/>
      <c r="AF77" s="208"/>
      <c r="AG77" s="164"/>
      <c r="AH77" s="190"/>
      <c r="AI77" s="201">
        <f t="shared" si="1"/>
        <v>22809542</v>
      </c>
      <c r="AJ77" s="173"/>
    </row>
    <row r="78" spans="1:38">
      <c r="A78" s="203" t="s">
        <v>36</v>
      </c>
      <c r="B78" s="204"/>
      <c r="C78" s="164"/>
      <c r="D78" s="164"/>
      <c r="E78" s="164"/>
      <c r="F78" s="164"/>
      <c r="G78" s="190"/>
      <c r="H78" s="164"/>
      <c r="I78" s="164"/>
      <c r="J78" s="164"/>
      <c r="K78" s="164">
        <v>4863360703</v>
      </c>
      <c r="L78" s="308"/>
      <c r="M78" s="164"/>
      <c r="N78" s="164"/>
      <c r="O78" s="208"/>
      <c r="P78" s="208"/>
      <c r="Q78" s="164">
        <v>3993762844</v>
      </c>
      <c r="R78" s="164"/>
      <c r="S78" s="164"/>
      <c r="T78" s="208"/>
      <c r="U78" s="208"/>
      <c r="V78" s="164">
        <v>2349116138</v>
      </c>
      <c r="W78" s="190"/>
      <c r="X78" s="164"/>
      <c r="Y78" s="164"/>
      <c r="Z78" s="164"/>
      <c r="AA78" s="164"/>
      <c r="AB78" s="164"/>
      <c r="AC78" s="164">
        <v>2695846196</v>
      </c>
      <c r="AD78" s="190"/>
      <c r="AE78" s="164"/>
      <c r="AF78" s="208"/>
      <c r="AG78" s="164"/>
      <c r="AH78" s="190"/>
      <c r="AI78" s="201">
        <f t="shared" si="1"/>
        <v>13902085881</v>
      </c>
      <c r="AJ78" s="173"/>
    </row>
    <row r="79" spans="1:38">
      <c r="A79" s="203" t="s">
        <v>36</v>
      </c>
      <c r="B79" s="204"/>
      <c r="C79" s="164"/>
      <c r="D79" s="164"/>
      <c r="E79" s="164"/>
      <c r="F79" s="164"/>
      <c r="G79" s="190"/>
      <c r="H79" s="164"/>
      <c r="I79" s="164"/>
      <c r="J79" s="164"/>
      <c r="K79" s="320"/>
      <c r="L79" s="308"/>
      <c r="M79" s="164"/>
      <c r="N79" s="164"/>
      <c r="O79" s="208"/>
      <c r="P79" s="208"/>
      <c r="Q79" s="164">
        <v>1245368106</v>
      </c>
      <c r="R79" s="164"/>
      <c r="S79" s="164"/>
      <c r="T79" s="208"/>
      <c r="U79" s="208"/>
      <c r="V79" s="164"/>
      <c r="W79" s="164"/>
      <c r="X79" s="164"/>
      <c r="Y79" s="164"/>
      <c r="Z79" s="164"/>
      <c r="AA79" s="164"/>
      <c r="AB79" s="164"/>
      <c r="AC79" s="164"/>
      <c r="AD79" s="190"/>
      <c r="AE79" s="164"/>
      <c r="AF79" s="208"/>
      <c r="AG79" s="164"/>
      <c r="AH79" s="190"/>
      <c r="AI79" s="201"/>
      <c r="AJ79" s="173"/>
    </row>
    <row r="80" spans="1:38">
      <c r="A80" s="203" t="s">
        <v>36</v>
      </c>
      <c r="B80" s="204"/>
      <c r="C80" s="164"/>
      <c r="D80" s="164"/>
      <c r="E80" s="164"/>
      <c r="F80" s="164"/>
      <c r="G80" s="190"/>
      <c r="H80" s="164"/>
      <c r="I80" s="164"/>
      <c r="J80" s="164"/>
      <c r="K80" s="164"/>
      <c r="L80" s="308"/>
      <c r="M80" s="164"/>
      <c r="N80" s="164"/>
      <c r="O80" s="208"/>
      <c r="P80" s="208"/>
      <c r="Q80" s="164"/>
      <c r="R80" s="164"/>
      <c r="S80" s="164"/>
      <c r="T80" s="208"/>
      <c r="U80" s="208"/>
      <c r="V80" s="164"/>
      <c r="W80" s="164"/>
      <c r="X80" s="164"/>
      <c r="Y80" s="164"/>
      <c r="Z80" s="164"/>
      <c r="AA80" s="164"/>
      <c r="AB80" s="164"/>
      <c r="AC80" s="164"/>
      <c r="AD80" s="190"/>
      <c r="AE80" s="164"/>
      <c r="AF80" s="208"/>
      <c r="AG80" s="164"/>
      <c r="AH80" s="190"/>
      <c r="AI80" s="201"/>
      <c r="AJ80" s="173"/>
    </row>
    <row r="81" spans="1:36">
      <c r="A81" s="203" t="s">
        <v>242</v>
      </c>
      <c r="B81" s="204"/>
      <c r="C81" s="164"/>
      <c r="D81" s="164"/>
      <c r="E81" s="164"/>
      <c r="F81" s="164"/>
      <c r="G81" s="190"/>
      <c r="H81" s="164"/>
      <c r="I81" s="164"/>
      <c r="J81" s="164"/>
      <c r="K81" s="164"/>
      <c r="L81" s="308">
        <v>25262457</v>
      </c>
      <c r="M81" s="164"/>
      <c r="N81" s="164"/>
      <c r="O81" s="208"/>
      <c r="P81" s="208"/>
      <c r="Q81" s="164"/>
      <c r="R81" s="164">
        <v>29688409</v>
      </c>
      <c r="S81" s="164"/>
      <c r="T81" s="208"/>
      <c r="U81" s="208"/>
      <c r="V81" s="164"/>
      <c r="W81" s="164"/>
      <c r="X81" s="164"/>
      <c r="Y81" s="164"/>
      <c r="Z81" s="164"/>
      <c r="AA81" s="164"/>
      <c r="AB81" s="164"/>
      <c r="AC81" s="164">
        <v>8553434</v>
      </c>
      <c r="AD81" s="190"/>
      <c r="AE81" s="164"/>
      <c r="AF81" s="208"/>
      <c r="AG81" s="164"/>
      <c r="AH81" s="190"/>
      <c r="AI81" s="201">
        <f t="shared" si="1"/>
        <v>63504300</v>
      </c>
      <c r="AJ81" s="173"/>
    </row>
    <row r="82" spans="1:36">
      <c r="A82" s="162" t="s">
        <v>53</v>
      </c>
      <c r="B82" s="204"/>
      <c r="C82" s="164"/>
      <c r="D82" s="164"/>
      <c r="E82" s="164"/>
      <c r="F82" s="164"/>
      <c r="G82" s="164"/>
      <c r="H82" s="164"/>
      <c r="I82" s="164"/>
      <c r="J82" s="164"/>
      <c r="K82" s="164"/>
      <c r="L82" s="308"/>
      <c r="M82" s="164"/>
      <c r="N82" s="172"/>
      <c r="O82" s="172"/>
      <c r="P82" s="172"/>
      <c r="Q82" s="164"/>
      <c r="R82" s="164"/>
      <c r="S82" s="243"/>
      <c r="T82" s="208"/>
      <c r="U82" s="171"/>
      <c r="V82" s="177"/>
      <c r="W82" s="164"/>
      <c r="X82" s="171"/>
      <c r="Y82" s="171"/>
      <c r="Z82" s="164"/>
      <c r="AA82" s="164"/>
      <c r="AB82" s="164"/>
      <c r="AC82" s="164"/>
      <c r="AD82" s="164"/>
      <c r="AE82" s="164"/>
      <c r="AF82" s="208"/>
      <c r="AG82" s="164"/>
      <c r="AH82" s="164"/>
      <c r="AI82" s="201">
        <f t="shared" si="1"/>
        <v>0</v>
      </c>
      <c r="AJ82" s="173"/>
    </row>
    <row r="83" spans="1:36">
      <c r="A83" s="162" t="s">
        <v>54</v>
      </c>
      <c r="B83" s="204"/>
      <c r="C83" s="172"/>
      <c r="D83" s="164"/>
      <c r="E83" s="164"/>
      <c r="F83" s="164"/>
      <c r="G83" s="164"/>
      <c r="H83" s="164"/>
      <c r="I83" s="164"/>
      <c r="J83" s="164"/>
      <c r="K83" s="164"/>
      <c r="L83" s="310"/>
      <c r="M83" s="164"/>
      <c r="N83" s="164"/>
      <c r="O83" s="208"/>
      <c r="P83" s="172"/>
      <c r="Q83" s="164"/>
      <c r="R83" s="164"/>
      <c r="S83" s="164"/>
      <c r="T83" s="208"/>
      <c r="U83" s="208"/>
      <c r="V83" s="177"/>
      <c r="W83" s="172"/>
      <c r="X83" s="170"/>
      <c r="Y83" s="170"/>
      <c r="Z83" s="172"/>
      <c r="AA83" s="164"/>
      <c r="AB83" s="164"/>
      <c r="AC83" s="164"/>
      <c r="AD83" s="164"/>
      <c r="AE83" s="164"/>
      <c r="AF83" s="208"/>
      <c r="AG83" s="164"/>
      <c r="AH83" s="190"/>
      <c r="AI83" s="201">
        <f t="shared" si="1"/>
        <v>0</v>
      </c>
      <c r="AJ83" s="173">
        <v>1</v>
      </c>
    </row>
    <row r="84" spans="1:36">
      <c r="A84" s="162" t="s">
        <v>203</v>
      </c>
      <c r="B84" s="204"/>
      <c r="C84" s="172"/>
      <c r="D84" s="164"/>
      <c r="E84" s="164"/>
      <c r="F84" s="164"/>
      <c r="G84" s="164"/>
      <c r="H84" s="208"/>
      <c r="I84" s="208"/>
      <c r="J84" s="164"/>
      <c r="K84" s="164"/>
      <c r="L84" s="310"/>
      <c r="M84" s="164"/>
      <c r="N84" s="164"/>
      <c r="O84" s="208"/>
      <c r="P84" s="172"/>
      <c r="Q84" s="164"/>
      <c r="R84" s="164"/>
      <c r="S84" s="164"/>
      <c r="T84" s="208"/>
      <c r="U84" s="208"/>
      <c r="V84" s="171"/>
      <c r="W84" s="172"/>
      <c r="X84" s="170"/>
      <c r="Y84" s="170"/>
      <c r="Z84" s="172"/>
      <c r="AA84" s="164"/>
      <c r="AB84" s="164"/>
      <c r="AC84" s="164"/>
      <c r="AD84" s="164"/>
      <c r="AE84" s="208"/>
      <c r="AF84" s="208"/>
      <c r="AG84" s="164"/>
      <c r="AH84" s="190"/>
      <c r="AI84" s="201">
        <f t="shared" si="1"/>
        <v>0</v>
      </c>
      <c r="AJ84" s="173"/>
    </row>
    <row r="85" spans="1:36">
      <c r="A85" s="162" t="s">
        <v>37</v>
      </c>
      <c r="B85" s="204"/>
      <c r="C85" s="164"/>
      <c r="D85" s="171">
        <v>387491489</v>
      </c>
      <c r="E85" s="172">
        <v>3043960575</v>
      </c>
      <c r="F85" s="172"/>
      <c r="G85" s="164"/>
      <c r="H85" s="172">
        <v>45187500</v>
      </c>
      <c r="I85" s="172"/>
      <c r="J85" s="164"/>
      <c r="K85" s="164"/>
      <c r="L85" s="310">
        <v>168287962</v>
      </c>
      <c r="M85" s="164"/>
      <c r="N85" s="164"/>
      <c r="O85" s="208"/>
      <c r="P85" s="171">
        <v>129244854</v>
      </c>
      <c r="Q85" s="164"/>
      <c r="R85" s="164"/>
      <c r="S85" s="164">
        <v>1931830768</v>
      </c>
      <c r="T85" s="208"/>
      <c r="U85" s="171"/>
      <c r="V85" s="171"/>
      <c r="W85" s="164"/>
      <c r="X85" s="171"/>
      <c r="Y85" s="171"/>
      <c r="Z85" s="164"/>
      <c r="AA85" s="171"/>
      <c r="AB85" s="172"/>
      <c r="AC85" s="172"/>
      <c r="AD85" s="164"/>
      <c r="AE85" s="172"/>
      <c r="AF85" s="175"/>
      <c r="AG85" s="164"/>
      <c r="AH85" s="164"/>
      <c r="AI85" s="201">
        <f t="shared" si="1"/>
        <v>5706003148</v>
      </c>
      <c r="AJ85" s="173"/>
    </row>
    <row r="86" spans="1:36">
      <c r="A86" s="162" t="s">
        <v>38</v>
      </c>
      <c r="B86" s="204"/>
      <c r="C86" s="172"/>
      <c r="D86" s="171">
        <v>1971217267</v>
      </c>
      <c r="E86" s="172">
        <v>2612965460</v>
      </c>
      <c r="F86" s="164"/>
      <c r="G86" s="164"/>
      <c r="H86" s="208"/>
      <c r="I86" s="208"/>
      <c r="J86" s="164"/>
      <c r="K86" s="172"/>
      <c r="L86" s="310"/>
      <c r="M86" s="164"/>
      <c r="N86" s="172"/>
      <c r="O86" s="172"/>
      <c r="P86" s="208"/>
      <c r="Q86" s="177"/>
      <c r="R86" s="171"/>
      <c r="S86" s="164"/>
      <c r="T86" s="171"/>
      <c r="U86" s="208"/>
      <c r="V86" s="208"/>
      <c r="W86" s="172"/>
      <c r="X86" s="171"/>
      <c r="Y86" s="171"/>
      <c r="Z86" s="172"/>
      <c r="AA86" s="171"/>
      <c r="AB86" s="172"/>
      <c r="AC86" s="164"/>
      <c r="AD86" s="164"/>
      <c r="AE86" s="208"/>
      <c r="AF86" s="171"/>
      <c r="AG86" s="170"/>
      <c r="AH86" s="170"/>
      <c r="AI86" s="201">
        <f t="shared" si="1"/>
        <v>4584182727</v>
      </c>
      <c r="AJ86" s="173"/>
    </row>
    <row r="87" spans="1:36">
      <c r="A87" s="162" t="s">
        <v>540</v>
      </c>
      <c r="B87" s="204"/>
      <c r="C87" s="172"/>
      <c r="D87" s="171"/>
      <c r="E87" s="172">
        <v>71414912</v>
      </c>
      <c r="F87" s="164"/>
      <c r="G87" s="164"/>
      <c r="H87" s="208"/>
      <c r="I87" s="208"/>
      <c r="J87" s="164"/>
      <c r="K87" s="172"/>
      <c r="L87" s="208"/>
      <c r="M87" s="164"/>
      <c r="N87" s="177"/>
      <c r="O87" s="172"/>
      <c r="P87" s="208"/>
      <c r="Q87" s="177"/>
      <c r="R87" s="171"/>
      <c r="S87" s="164"/>
      <c r="T87" s="171"/>
      <c r="U87" s="208"/>
      <c r="V87" s="208"/>
      <c r="W87" s="172"/>
      <c r="X87" s="171"/>
      <c r="Y87" s="171"/>
      <c r="Z87" s="172"/>
      <c r="AA87" s="171"/>
      <c r="AB87" s="172"/>
      <c r="AC87" s="164"/>
      <c r="AD87" s="164"/>
      <c r="AE87" s="208"/>
      <c r="AF87" s="171"/>
      <c r="AG87" s="170"/>
      <c r="AH87" s="170"/>
      <c r="AI87" s="201">
        <f t="shared" si="1"/>
        <v>71414912</v>
      </c>
      <c r="AJ87" s="173"/>
    </row>
    <row r="88" spans="1:36">
      <c r="A88" s="162" t="s">
        <v>175</v>
      </c>
      <c r="B88" s="204"/>
      <c r="C88" s="172"/>
      <c r="D88" s="172">
        <v>2289737044</v>
      </c>
      <c r="E88" s="172"/>
      <c r="F88" s="164"/>
      <c r="G88" s="172"/>
      <c r="H88" s="171">
        <v>30000000</v>
      </c>
      <c r="I88" s="208"/>
      <c r="J88" s="172"/>
      <c r="K88" s="164">
        <v>1775474953</v>
      </c>
      <c r="L88" s="171">
        <v>1734131022</v>
      </c>
      <c r="M88" s="164"/>
      <c r="N88" s="172"/>
      <c r="O88" s="172"/>
      <c r="P88" s="173"/>
      <c r="Q88" s="208"/>
      <c r="R88" s="171"/>
      <c r="S88" s="164"/>
      <c r="T88" s="164"/>
      <c r="U88" s="164"/>
      <c r="V88" s="164"/>
      <c r="W88" s="175"/>
      <c r="X88" s="175"/>
      <c r="Y88" s="175"/>
      <c r="Z88" s="172"/>
      <c r="AA88" s="172"/>
      <c r="AB88" s="172"/>
      <c r="AC88" s="164"/>
      <c r="AD88" s="172"/>
      <c r="AE88" s="171"/>
      <c r="AF88" s="171"/>
      <c r="AG88" s="171"/>
      <c r="AH88" s="170"/>
      <c r="AI88" s="201">
        <f t="shared" si="1"/>
        <v>5829343019</v>
      </c>
      <c r="AJ88" s="173"/>
    </row>
    <row r="89" spans="1:36">
      <c r="A89" s="162" t="s">
        <v>176</v>
      </c>
      <c r="B89" s="204"/>
      <c r="C89" s="208"/>
      <c r="D89" s="164">
        <v>1730107592</v>
      </c>
      <c r="E89" s="172"/>
      <c r="F89" s="164"/>
      <c r="G89" s="164"/>
      <c r="H89" s="208"/>
      <c r="I89" s="208"/>
      <c r="J89" s="172"/>
      <c r="K89" s="172"/>
      <c r="L89" s="208"/>
      <c r="M89" s="164"/>
      <c r="N89" s="164"/>
      <c r="O89" s="172"/>
      <c r="P89" s="208"/>
      <c r="Q89" s="164"/>
      <c r="R89" s="306"/>
      <c r="S89" s="164"/>
      <c r="T89" s="172"/>
      <c r="U89" s="171"/>
      <c r="V89" s="171"/>
      <c r="W89" s="164"/>
      <c r="X89" s="171"/>
      <c r="Y89" s="172"/>
      <c r="Z89" s="208"/>
      <c r="AA89" s="164"/>
      <c r="AB89" s="172"/>
      <c r="AC89" s="164"/>
      <c r="AD89" s="164"/>
      <c r="AE89" s="208"/>
      <c r="AF89" s="171"/>
      <c r="AG89" s="164"/>
      <c r="AH89" s="164"/>
      <c r="AI89" s="201">
        <f t="shared" si="1"/>
        <v>1730107592</v>
      </c>
      <c r="AJ89" s="173"/>
    </row>
    <row r="90" spans="1:36">
      <c r="A90" s="162" t="s">
        <v>409</v>
      </c>
      <c r="B90" s="204"/>
      <c r="C90" s="171"/>
      <c r="D90" s="171"/>
      <c r="E90" s="172"/>
      <c r="F90" s="164"/>
      <c r="G90" s="164"/>
      <c r="H90" s="309"/>
      <c r="I90" s="208"/>
      <c r="J90" s="172"/>
      <c r="K90" s="172"/>
      <c r="L90" s="208"/>
      <c r="M90" s="164"/>
      <c r="N90" s="164"/>
      <c r="O90" s="172"/>
      <c r="P90" s="208"/>
      <c r="Q90" s="164"/>
      <c r="R90" s="306"/>
      <c r="S90" s="164"/>
      <c r="T90" s="172"/>
      <c r="U90" s="171"/>
      <c r="V90" s="171"/>
      <c r="W90" s="164"/>
      <c r="X90" s="171"/>
      <c r="Y90" s="171"/>
      <c r="Z90" s="171"/>
      <c r="AA90" s="171"/>
      <c r="AB90" s="172"/>
      <c r="AC90" s="164"/>
      <c r="AD90" s="164"/>
      <c r="AE90" s="309"/>
      <c r="AF90" s="171"/>
      <c r="AG90" s="164"/>
      <c r="AH90" s="164"/>
      <c r="AI90" s="201"/>
      <c r="AJ90" s="173"/>
    </row>
    <row r="91" spans="1:36">
      <c r="A91" s="162" t="s">
        <v>202</v>
      </c>
      <c r="B91" s="204"/>
      <c r="C91" s="164"/>
      <c r="D91" s="164"/>
      <c r="E91" s="172">
        <v>77264972</v>
      </c>
      <c r="F91" s="164"/>
      <c r="G91" s="164"/>
      <c r="H91" s="306"/>
      <c r="I91" s="208"/>
      <c r="J91" s="172"/>
      <c r="K91" s="172"/>
      <c r="L91" s="208"/>
      <c r="M91" s="164"/>
      <c r="N91" s="164"/>
      <c r="O91" s="172"/>
      <c r="P91" s="208"/>
      <c r="Q91" s="164"/>
      <c r="R91" s="306"/>
      <c r="S91" s="164"/>
      <c r="T91" s="172"/>
      <c r="U91" s="171"/>
      <c r="V91" s="164"/>
      <c r="W91" s="164"/>
      <c r="X91" s="171"/>
      <c r="Y91" s="172"/>
      <c r="Z91" s="164"/>
      <c r="AA91" s="164"/>
      <c r="AB91" s="172"/>
      <c r="AC91" s="164"/>
      <c r="AD91" s="164"/>
      <c r="AE91" s="306"/>
      <c r="AF91" s="171"/>
      <c r="AG91" s="164"/>
      <c r="AH91" s="164"/>
      <c r="AI91" s="201">
        <f t="shared" si="1"/>
        <v>77264972</v>
      </c>
      <c r="AJ91" s="173"/>
    </row>
    <row r="92" spans="1:36">
      <c r="A92" s="211" t="s">
        <v>41</v>
      </c>
      <c r="B92" s="212"/>
      <c r="C92" s="213">
        <f t="shared" ref="C92:AI92" si="2">SUM(C67:C91)</f>
        <v>0</v>
      </c>
      <c r="D92" s="213">
        <f t="shared" si="2"/>
        <v>6378553392</v>
      </c>
      <c r="E92" s="213">
        <f t="shared" si="2"/>
        <v>5805605919</v>
      </c>
      <c r="F92" s="213">
        <f t="shared" si="2"/>
        <v>0</v>
      </c>
      <c r="G92" s="213">
        <f t="shared" si="2"/>
        <v>0</v>
      </c>
      <c r="H92" s="213">
        <f t="shared" si="2"/>
        <v>7405756569</v>
      </c>
      <c r="I92" s="213">
        <f t="shared" si="2"/>
        <v>0</v>
      </c>
      <c r="J92" s="213">
        <f t="shared" si="2"/>
        <v>0</v>
      </c>
      <c r="K92" s="213">
        <f t="shared" si="2"/>
        <v>15444296613</v>
      </c>
      <c r="L92" s="213">
        <f t="shared" si="2"/>
        <v>1970730361</v>
      </c>
      <c r="M92" s="213">
        <f t="shared" si="2"/>
        <v>0</v>
      </c>
      <c r="N92" s="213">
        <f t="shared" si="2"/>
        <v>0</v>
      </c>
      <c r="O92" s="213">
        <f t="shared" si="2"/>
        <v>0</v>
      </c>
      <c r="P92" s="213">
        <f t="shared" si="2"/>
        <v>129244854</v>
      </c>
      <c r="Q92" s="213">
        <f t="shared" si="2"/>
        <v>14830923533</v>
      </c>
      <c r="R92" s="213">
        <f t="shared" si="2"/>
        <v>81690241</v>
      </c>
      <c r="S92" s="213">
        <f t="shared" si="2"/>
        <v>1931830768</v>
      </c>
      <c r="T92" s="213">
        <f t="shared" si="2"/>
        <v>0</v>
      </c>
      <c r="U92" s="213">
        <f t="shared" si="2"/>
        <v>0</v>
      </c>
      <c r="V92" s="213">
        <f t="shared" si="2"/>
        <v>5784043514</v>
      </c>
      <c r="W92" s="213">
        <f t="shared" si="2"/>
        <v>0</v>
      </c>
      <c r="X92" s="213">
        <f t="shared" si="2"/>
        <v>0</v>
      </c>
      <c r="Y92" s="213">
        <f t="shared" si="2"/>
        <v>7880985073</v>
      </c>
      <c r="Z92" s="213">
        <f t="shared" si="2"/>
        <v>46158769</v>
      </c>
      <c r="AA92" s="213">
        <f t="shared" si="2"/>
        <v>0</v>
      </c>
      <c r="AB92" s="213">
        <f t="shared" si="2"/>
        <v>0</v>
      </c>
      <c r="AC92" s="213">
        <f t="shared" si="2"/>
        <v>3853937153</v>
      </c>
      <c r="AD92" s="213">
        <f t="shared" si="2"/>
        <v>0</v>
      </c>
      <c r="AE92" s="213">
        <f t="shared" si="2"/>
        <v>0</v>
      </c>
      <c r="AF92" s="213">
        <f t="shared" si="2"/>
        <v>0</v>
      </c>
      <c r="AG92" s="213">
        <f t="shared" si="2"/>
        <v>0</v>
      </c>
      <c r="AH92" s="213">
        <f t="shared" si="2"/>
        <v>0</v>
      </c>
      <c r="AI92" s="213">
        <f t="shared" si="2"/>
        <v>67644567260</v>
      </c>
      <c r="AJ92" s="154"/>
    </row>
    <row r="93" spans="1:36">
      <c r="A93" s="393" t="s">
        <v>42</v>
      </c>
      <c r="B93" s="394"/>
      <c r="C93" s="215">
        <f t="shared" ref="C93:AG93" si="3">C64+C92</f>
        <v>0</v>
      </c>
      <c r="D93" s="215">
        <f t="shared" si="3"/>
        <v>6378553392</v>
      </c>
      <c r="E93" s="216">
        <f t="shared" si="3"/>
        <v>5805605919</v>
      </c>
      <c r="F93" s="216">
        <f t="shared" si="3"/>
        <v>0</v>
      </c>
      <c r="G93" s="216">
        <f t="shared" si="3"/>
        <v>0</v>
      </c>
      <c r="H93" s="216">
        <f t="shared" si="3"/>
        <v>8024658137</v>
      </c>
      <c r="I93" s="216">
        <f t="shared" si="3"/>
        <v>2133043388</v>
      </c>
      <c r="J93" s="215">
        <f t="shared" si="3"/>
        <v>697894483</v>
      </c>
      <c r="K93" s="215">
        <f t="shared" si="3"/>
        <v>15822956577</v>
      </c>
      <c r="L93" s="216">
        <f t="shared" si="3"/>
        <v>2025338762</v>
      </c>
      <c r="M93" s="216">
        <f t="shared" si="3"/>
        <v>0</v>
      </c>
      <c r="N93" s="216">
        <f t="shared" si="3"/>
        <v>0</v>
      </c>
      <c r="O93" s="216">
        <f t="shared" si="3"/>
        <v>379816388</v>
      </c>
      <c r="P93" s="216">
        <f t="shared" si="3"/>
        <v>241117028</v>
      </c>
      <c r="Q93" s="216">
        <f t="shared" si="3"/>
        <v>14833785501</v>
      </c>
      <c r="R93" s="216">
        <f t="shared" si="3"/>
        <v>97354241</v>
      </c>
      <c r="S93" s="216">
        <f t="shared" si="3"/>
        <v>2068322193</v>
      </c>
      <c r="T93" s="216">
        <f t="shared" si="3"/>
        <v>0</v>
      </c>
      <c r="U93" s="216">
        <f t="shared" si="3"/>
        <v>0</v>
      </c>
      <c r="V93" s="216">
        <f t="shared" si="3"/>
        <v>5940214994</v>
      </c>
      <c r="W93" s="216">
        <f t="shared" si="3"/>
        <v>303211231</v>
      </c>
      <c r="X93" s="216">
        <f t="shared" si="3"/>
        <v>0</v>
      </c>
      <c r="Y93" s="216">
        <f t="shared" si="3"/>
        <v>8442929450</v>
      </c>
      <c r="Z93" s="216">
        <f t="shared" si="3"/>
        <v>1818643971</v>
      </c>
      <c r="AA93" s="216">
        <f t="shared" si="3"/>
        <v>0</v>
      </c>
      <c r="AB93" s="216">
        <f t="shared" si="3"/>
        <v>0</v>
      </c>
      <c r="AC93" s="216">
        <f t="shared" si="3"/>
        <v>4583032931</v>
      </c>
      <c r="AD93" s="216">
        <f t="shared" si="3"/>
        <v>1294524788</v>
      </c>
      <c r="AE93" s="216">
        <f t="shared" si="3"/>
        <v>0</v>
      </c>
      <c r="AF93" s="216">
        <f t="shared" si="3"/>
        <v>7914066492</v>
      </c>
      <c r="AG93" s="216">
        <f t="shared" si="3"/>
        <v>1990064866</v>
      </c>
      <c r="AH93" s="216"/>
      <c r="AI93" s="216">
        <f>SUM(C93:AG93)</f>
        <v>90795134732</v>
      </c>
    </row>
    <row r="95" spans="1:36">
      <c r="A95" s="150" t="s">
        <v>50</v>
      </c>
      <c r="C95" s="248">
        <v>19267468214</v>
      </c>
      <c r="D95" s="292">
        <v>15273795870</v>
      </c>
      <c r="E95" s="248">
        <v>20550972938</v>
      </c>
      <c r="F95" s="248">
        <v>21924937330</v>
      </c>
      <c r="G95" s="248"/>
      <c r="H95" s="248">
        <v>16371556771</v>
      </c>
      <c r="I95" s="248">
        <v>12385058311</v>
      </c>
      <c r="J95" s="248">
        <v>17894622718</v>
      </c>
      <c r="K95" s="292">
        <v>20664079961</v>
      </c>
      <c r="L95" s="248">
        <v>7839758708</v>
      </c>
      <c r="M95" s="248"/>
      <c r="N95" s="248"/>
      <c r="O95" s="248">
        <v>12829607565</v>
      </c>
      <c r="P95" s="248"/>
      <c r="Q95" s="248">
        <v>17071625712</v>
      </c>
      <c r="R95" s="248">
        <v>7027177323</v>
      </c>
      <c r="S95" s="248"/>
      <c r="T95" s="248"/>
      <c r="U95" s="248"/>
      <c r="V95" s="248">
        <v>15059038376</v>
      </c>
      <c r="W95" s="248"/>
      <c r="X95" s="248"/>
      <c r="Y95" s="248">
        <v>22845252055</v>
      </c>
      <c r="Z95" s="248"/>
      <c r="AA95" s="248"/>
      <c r="AB95" s="293"/>
      <c r="AC95" s="248">
        <v>24510696295</v>
      </c>
      <c r="AD95" s="248"/>
      <c r="AE95" s="248"/>
      <c r="AF95" s="248">
        <v>28468164506</v>
      </c>
      <c r="AG95" s="248"/>
      <c r="AH95" s="248"/>
      <c r="AI95" s="228"/>
      <c r="AJ95" s="228"/>
    </row>
    <row r="96" spans="1:36">
      <c r="A96" s="150" t="s">
        <v>139</v>
      </c>
      <c r="C96" s="294">
        <f>C95-C93</f>
        <v>19267468214</v>
      </c>
      <c r="D96" s="295">
        <f>D95-D93</f>
        <v>8895242478</v>
      </c>
      <c r="E96" s="296">
        <f>E95-E93</f>
        <v>14745367019</v>
      </c>
      <c r="F96" s="248">
        <f>F95-F93</f>
        <v>21924937330</v>
      </c>
      <c r="G96" s="296"/>
      <c r="H96" s="248">
        <f>H95-H93</f>
        <v>8346898634</v>
      </c>
      <c r="I96" s="296">
        <f>I95-I93</f>
        <v>10252014923</v>
      </c>
      <c r="J96" s="248"/>
      <c r="K96" s="297">
        <f>K95-K93</f>
        <v>4841123384</v>
      </c>
      <c r="L96" s="296">
        <f>L95-L93</f>
        <v>5814419946</v>
      </c>
      <c r="M96" s="293"/>
      <c r="N96" s="293"/>
      <c r="O96" s="293"/>
      <c r="P96" s="293"/>
      <c r="Q96" s="293">
        <f>Q95-Q93</f>
        <v>2237840211</v>
      </c>
      <c r="R96" s="293">
        <f>R95-R93</f>
        <v>6929823082</v>
      </c>
      <c r="S96" s="293"/>
      <c r="T96" s="293"/>
      <c r="U96" s="293"/>
      <c r="V96" s="293"/>
      <c r="W96" s="296"/>
      <c r="X96" s="248"/>
      <c r="Y96" s="296">
        <f>Y95-Y93</f>
        <v>14402322605</v>
      </c>
      <c r="Z96" s="248"/>
      <c r="AA96" s="248"/>
      <c r="AB96" s="293"/>
      <c r="AC96" s="296">
        <f>AC95-AC93</f>
        <v>19927663364</v>
      </c>
      <c r="AD96" s="296"/>
      <c r="AE96" s="296"/>
      <c r="AF96" s="296"/>
      <c r="AG96" s="296"/>
      <c r="AH96" s="296"/>
      <c r="AI96" s="296"/>
      <c r="AJ96" s="228"/>
    </row>
    <row r="97" spans="1:42">
      <c r="A97" s="150" t="s">
        <v>181</v>
      </c>
      <c r="C97" s="248"/>
      <c r="D97" s="295">
        <v>2274227659</v>
      </c>
      <c r="E97" s="248">
        <v>3443027627</v>
      </c>
      <c r="F97" s="248">
        <v>3688247000</v>
      </c>
      <c r="G97" s="248"/>
      <c r="H97" s="248"/>
      <c r="I97" s="248">
        <v>2000000000</v>
      </c>
      <c r="J97" s="248"/>
      <c r="K97" s="297">
        <v>2417257212</v>
      </c>
      <c r="L97" s="248">
        <v>2491690596</v>
      </c>
      <c r="M97" s="248"/>
      <c r="N97" s="248"/>
      <c r="O97" s="293"/>
      <c r="P97" s="248"/>
      <c r="Q97" s="248"/>
      <c r="R97" s="296"/>
      <c r="S97" s="248"/>
      <c r="T97" s="248"/>
      <c r="U97" s="248"/>
      <c r="V97" s="248"/>
      <c r="W97" s="248"/>
      <c r="X97" s="248"/>
      <c r="Y97" s="293"/>
      <c r="Z97" s="248"/>
      <c r="AA97" s="248"/>
      <c r="AB97" s="248"/>
      <c r="AC97" s="248"/>
      <c r="AD97" s="293"/>
      <c r="AE97" s="248"/>
      <c r="AF97" s="248"/>
      <c r="AG97" s="248"/>
      <c r="AH97" s="248"/>
      <c r="AI97" s="296"/>
      <c r="AJ97" s="228"/>
    </row>
    <row r="98" spans="1:42">
      <c r="A98" s="150" t="s">
        <v>654</v>
      </c>
      <c r="C98" s="248"/>
      <c r="D98" s="295">
        <f>D96+D97</f>
        <v>11169470137</v>
      </c>
      <c r="E98" s="248">
        <f>E96+E97</f>
        <v>18188394646</v>
      </c>
      <c r="F98" s="248">
        <f>F96+F97</f>
        <v>25613184330</v>
      </c>
      <c r="G98" s="248"/>
      <c r="H98" s="248"/>
      <c r="I98" s="248"/>
      <c r="J98" s="292"/>
      <c r="K98" s="292">
        <f>K96+K97</f>
        <v>7258380596</v>
      </c>
      <c r="L98" s="248">
        <f>L96+L97</f>
        <v>8306110542</v>
      </c>
      <c r="M98" s="248"/>
      <c r="N98" s="248"/>
      <c r="O98" s="248"/>
      <c r="P98" s="248"/>
      <c r="Q98" s="248"/>
      <c r="R98" s="248"/>
      <c r="S98" s="248"/>
      <c r="T98" s="248"/>
      <c r="U98" s="248"/>
      <c r="V98" s="248"/>
      <c r="W98" s="248"/>
      <c r="X98" s="248"/>
      <c r="Y98" s="293"/>
      <c r="Z98" s="296"/>
      <c r="AA98" s="296"/>
      <c r="AB98" s="248"/>
      <c r="AC98" s="248"/>
      <c r="AD98" s="296"/>
      <c r="AE98" s="296"/>
      <c r="AF98" s="296"/>
      <c r="AG98" s="296"/>
      <c r="AH98" s="296"/>
      <c r="AI98" s="296"/>
      <c r="AJ98" s="228"/>
    </row>
    <row r="99" spans="1:42">
      <c r="A99" s="150" t="s">
        <v>407</v>
      </c>
      <c r="C99" s="297"/>
      <c r="D99" s="297">
        <f>D74</f>
        <v>0</v>
      </c>
      <c r="E99" s="248"/>
      <c r="F99" s="248"/>
      <c r="G99" s="228"/>
      <c r="H99" s="293"/>
      <c r="I99" s="248"/>
      <c r="J99" s="292"/>
      <c r="K99" s="297"/>
      <c r="L99" s="248"/>
      <c r="M99" s="248"/>
      <c r="N99" s="248"/>
      <c r="O99" s="296"/>
      <c r="P99" s="248"/>
      <c r="Q99" s="296">
        <f>Q38+Q70+Q71+Q72+Q76+Q78+Q79</f>
        <v>14833785501</v>
      </c>
      <c r="R99" s="293">
        <f>R61+R74+R77+R81</f>
        <v>97354241</v>
      </c>
      <c r="S99" s="296"/>
      <c r="T99" s="296"/>
      <c r="U99" s="248"/>
      <c r="V99" s="248"/>
      <c r="W99" s="293"/>
      <c r="X99" s="248"/>
      <c r="Y99" s="296"/>
      <c r="Z99" s="296"/>
      <c r="AA99" s="296"/>
      <c r="AB99" s="248"/>
      <c r="AC99" s="228"/>
      <c r="AD99" s="228"/>
      <c r="AE99" s="228"/>
      <c r="AF99" s="228"/>
      <c r="AG99" s="248"/>
      <c r="AH99" s="248"/>
      <c r="AI99" s="228"/>
      <c r="AJ99" s="296"/>
    </row>
    <row r="100" spans="1:42">
      <c r="C100" s="193"/>
      <c r="F100" s="154"/>
      <c r="I100" s="219"/>
      <c r="K100" s="218"/>
      <c r="L100" s="154"/>
      <c r="R100" s="217"/>
      <c r="S100" s="219"/>
      <c r="V100" s="154"/>
      <c r="W100" s="219"/>
      <c r="X100" s="219"/>
      <c r="AD100" s="398" t="s">
        <v>686</v>
      </c>
      <c r="AE100" s="398"/>
      <c r="AF100" s="398"/>
    </row>
    <row r="101" spans="1:42">
      <c r="L101" s="154"/>
      <c r="Y101" s="154"/>
      <c r="AD101" s="284" t="s">
        <v>443</v>
      </c>
      <c r="AE101" s="285" t="s">
        <v>444</v>
      </c>
      <c r="AF101" s="284" t="s">
        <v>445</v>
      </c>
      <c r="AG101" s="283"/>
      <c r="AH101" s="222"/>
      <c r="AI101" s="169"/>
      <c r="AJ101" s="176"/>
    </row>
    <row r="102" spans="1:42">
      <c r="C102" s="150"/>
      <c r="D102" s="150"/>
      <c r="F102" s="395" t="s">
        <v>481</v>
      </c>
      <c r="G102" s="395"/>
      <c r="H102" s="395" t="s">
        <v>481</v>
      </c>
      <c r="I102" s="395"/>
      <c r="J102" s="395" t="s">
        <v>481</v>
      </c>
      <c r="K102" s="395"/>
      <c r="L102" s="395" t="s">
        <v>481</v>
      </c>
      <c r="M102" s="395"/>
      <c r="P102" s="298" t="s">
        <v>430</v>
      </c>
      <c r="Q102" s="298"/>
      <c r="R102" s="395" t="s">
        <v>481</v>
      </c>
      <c r="S102" s="395"/>
      <c r="T102" s="395"/>
      <c r="AD102" s="169" t="s">
        <v>463</v>
      </c>
      <c r="AE102" s="176" t="s">
        <v>687</v>
      </c>
      <c r="AF102" s="176">
        <v>1990000</v>
      </c>
      <c r="AG102" s="222"/>
      <c r="AH102" s="222"/>
      <c r="AI102" s="169"/>
      <c r="AJ102" s="176"/>
    </row>
    <row r="103" spans="1:42" ht="13.5" customHeight="1">
      <c r="F103" s="395" t="s">
        <v>482</v>
      </c>
      <c r="G103" s="395"/>
      <c r="H103" s="395" t="s">
        <v>504</v>
      </c>
      <c r="I103" s="395"/>
      <c r="J103" s="395" t="s">
        <v>508</v>
      </c>
      <c r="K103" s="395"/>
      <c r="L103" s="395" t="s">
        <v>546</v>
      </c>
      <c r="M103" s="395"/>
      <c r="O103" s="150" t="s">
        <v>375</v>
      </c>
      <c r="P103" s="299">
        <v>44635</v>
      </c>
      <c r="Q103" s="299"/>
      <c r="R103" s="402" t="s">
        <v>684</v>
      </c>
      <c r="S103" s="402"/>
      <c r="T103" s="402"/>
      <c r="U103" s="185"/>
      <c r="AA103" s="150" t="s">
        <v>111</v>
      </c>
      <c r="AD103" s="162" t="s">
        <v>688</v>
      </c>
      <c r="AE103" s="313" t="s">
        <v>689</v>
      </c>
      <c r="AF103" s="314">
        <v>975000</v>
      </c>
      <c r="AG103" s="222"/>
      <c r="AH103" s="222"/>
      <c r="AI103" s="169"/>
      <c r="AJ103" s="176"/>
    </row>
    <row r="104" spans="1:42">
      <c r="C104" s="150"/>
      <c r="D104" s="150"/>
      <c r="F104" s="169"/>
      <c r="G104" s="176"/>
      <c r="H104" s="154"/>
      <c r="J104" s="169"/>
      <c r="K104" s="176"/>
      <c r="L104" s="169"/>
      <c r="M104" s="176"/>
      <c r="N104" s="247"/>
      <c r="O104" s="247"/>
      <c r="P104" s="250"/>
      <c r="Q104" s="250"/>
      <c r="R104" s="250" t="s">
        <v>230</v>
      </c>
      <c r="S104" s="250" t="s">
        <v>445</v>
      </c>
      <c r="T104" s="250" t="s">
        <v>233</v>
      </c>
      <c r="U104" s="247"/>
      <c r="V104" s="247"/>
      <c r="W104" s="226"/>
      <c r="X104" s="176"/>
      <c r="Y104" s="248"/>
      <c r="Z104" s="154"/>
      <c r="AD104" s="169" t="s">
        <v>560</v>
      </c>
      <c r="AE104" s="176" t="s">
        <v>690</v>
      </c>
      <c r="AF104" s="176">
        <v>500000</v>
      </c>
      <c r="AI104" s="169"/>
      <c r="AJ104" s="176"/>
    </row>
    <row r="105" spans="1:42">
      <c r="C105" s="150"/>
      <c r="D105" s="150"/>
      <c r="F105" s="169"/>
      <c r="G105" s="176"/>
      <c r="H105" s="154"/>
      <c r="I105" s="154"/>
      <c r="J105" s="169"/>
      <c r="K105" s="176"/>
      <c r="L105" s="169"/>
      <c r="M105" s="176"/>
      <c r="O105" s="228"/>
      <c r="P105" s="327"/>
      <c r="Q105" s="327"/>
      <c r="R105" s="331" t="s">
        <v>620</v>
      </c>
      <c r="S105" s="331">
        <v>1184925</v>
      </c>
      <c r="T105" s="330" t="s">
        <v>680</v>
      </c>
      <c r="U105" s="228"/>
      <c r="V105" s="229"/>
      <c r="W105" s="169"/>
      <c r="X105" s="176"/>
      <c r="Y105" s="154"/>
      <c r="Z105" s="154"/>
      <c r="AD105" s="169" t="s">
        <v>594</v>
      </c>
      <c r="AE105" s="176" t="s">
        <v>691</v>
      </c>
      <c r="AF105" s="176">
        <v>2430000</v>
      </c>
      <c r="AI105" s="169"/>
      <c r="AJ105" s="176"/>
    </row>
    <row r="106" spans="1:42">
      <c r="C106" s="150"/>
      <c r="D106" s="150"/>
      <c r="F106" s="169"/>
      <c r="G106" s="176"/>
      <c r="H106" s="154"/>
      <c r="I106" s="154"/>
      <c r="J106" s="169"/>
      <c r="K106" s="176"/>
      <c r="L106" s="169"/>
      <c r="M106" s="176"/>
      <c r="O106" s="228"/>
      <c r="P106" s="327"/>
      <c r="Q106" s="327"/>
      <c r="R106" s="331" t="s">
        <v>620</v>
      </c>
      <c r="S106" s="331">
        <v>2673000</v>
      </c>
      <c r="T106" s="330" t="s">
        <v>681</v>
      </c>
      <c r="U106" s="228"/>
      <c r="V106" s="229"/>
      <c r="W106" s="169"/>
      <c r="X106" s="176"/>
      <c r="Y106" s="154"/>
      <c r="Z106" s="154"/>
      <c r="AD106" s="169" t="s">
        <v>466</v>
      </c>
      <c r="AE106" s="176" t="s">
        <v>692</v>
      </c>
      <c r="AF106" s="176">
        <v>381004</v>
      </c>
      <c r="AI106" s="169"/>
      <c r="AJ106" s="176"/>
    </row>
    <row r="107" spans="1:42">
      <c r="C107" s="150"/>
      <c r="D107" s="150"/>
      <c r="F107" s="169"/>
      <c r="G107" s="176"/>
      <c r="H107" s="154"/>
      <c r="I107" s="154"/>
      <c r="J107" s="169"/>
      <c r="K107" s="176"/>
      <c r="L107" s="169"/>
      <c r="M107" s="176"/>
      <c r="O107" s="228"/>
      <c r="P107" s="327"/>
      <c r="Q107" s="327"/>
      <c r="R107" s="331" t="s">
        <v>682</v>
      </c>
      <c r="S107" s="331">
        <v>436000</v>
      </c>
      <c r="T107" s="330" t="s">
        <v>683</v>
      </c>
      <c r="U107" s="228"/>
      <c r="V107" s="229"/>
      <c r="W107" s="169"/>
      <c r="X107" s="272"/>
      <c r="Y107" s="154"/>
      <c r="Z107" s="154"/>
      <c r="AC107" s="150" t="s">
        <v>111</v>
      </c>
      <c r="AD107" s="169" t="s">
        <v>468</v>
      </c>
      <c r="AE107" s="176" t="s">
        <v>691</v>
      </c>
      <c r="AF107" s="176">
        <v>870000</v>
      </c>
      <c r="AI107" s="169"/>
      <c r="AJ107" s="176"/>
    </row>
    <row r="108" spans="1:42">
      <c r="C108" s="150"/>
      <c r="D108" s="150"/>
      <c r="F108" s="169"/>
      <c r="G108" s="176"/>
      <c r="I108" s="154"/>
      <c r="J108" s="169"/>
      <c r="K108" s="176"/>
      <c r="L108" s="169"/>
      <c r="M108" s="176"/>
      <c r="N108" s="247"/>
      <c r="O108" s="247"/>
      <c r="P108" s="250"/>
      <c r="Q108" s="250"/>
      <c r="R108" s="331"/>
      <c r="S108" s="331"/>
      <c r="T108" s="331"/>
      <c r="U108" s="247"/>
      <c r="V108" s="247"/>
      <c r="W108" s="226"/>
      <c r="X108" s="169"/>
      <c r="Y108" s="248"/>
      <c r="Z108" s="248"/>
      <c r="AD108" s="169" t="s">
        <v>474</v>
      </c>
      <c r="AE108" s="176" t="s">
        <v>690</v>
      </c>
      <c r="AF108" s="176">
        <v>500000</v>
      </c>
      <c r="AI108" s="169"/>
      <c r="AJ108" s="176"/>
      <c r="AM108" s="150" t="s">
        <v>111</v>
      </c>
    </row>
    <row r="109" spans="1:42">
      <c r="D109" s="193"/>
      <c r="E109" s="154"/>
      <c r="G109" s="154"/>
      <c r="H109" s="154"/>
      <c r="I109" s="154"/>
      <c r="J109" s="193"/>
      <c r="K109" s="193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W109" s="248"/>
      <c r="X109" s="248"/>
      <c r="Y109" s="248"/>
      <c r="Z109" s="248"/>
      <c r="AA109" s="154"/>
      <c r="AD109" s="169"/>
      <c r="AE109" s="176"/>
      <c r="AF109" s="169"/>
      <c r="AJ109" s="154"/>
    </row>
    <row r="110" spans="1:42">
      <c r="D110" s="193"/>
      <c r="E110" s="154"/>
      <c r="G110" s="154"/>
      <c r="H110" s="154">
        <v>158340504</v>
      </c>
      <c r="I110" s="154">
        <v>220319460</v>
      </c>
      <c r="J110" s="193">
        <v>680719460</v>
      </c>
      <c r="K110" s="193">
        <v>3539018910</v>
      </c>
      <c r="L110" s="193"/>
      <c r="M110" s="193"/>
      <c r="N110" s="154"/>
      <c r="O110" s="154"/>
      <c r="P110" s="154"/>
      <c r="Q110" s="154"/>
      <c r="R110" s="154"/>
      <c r="S110" s="154"/>
      <c r="T110" s="154"/>
      <c r="U110" s="154"/>
      <c r="W110" s="154"/>
      <c r="X110" s="154"/>
      <c r="Y110" s="154"/>
      <c r="Z110" s="154"/>
      <c r="AA110" s="154"/>
      <c r="AD110" s="192" t="s">
        <v>241</v>
      </c>
      <c r="AE110" s="227"/>
      <c r="AF110" s="272">
        <f>SUM(AF102:AF109)</f>
        <v>7646004</v>
      </c>
      <c r="AJ110" s="154"/>
      <c r="AL110" s="150" t="s">
        <v>112</v>
      </c>
    </row>
    <row r="111" spans="1:42">
      <c r="D111" s="193"/>
      <c r="E111" s="154"/>
      <c r="H111" s="154" t="e">
        <f ca="1">[3]!terbilang(H110)</f>
        <v>#NAME?</v>
      </c>
      <c r="I111" s="154" t="e">
        <f ca="1">[3]!terbilang(I110)</f>
        <v>#NAME?</v>
      </c>
      <c r="J111" s="154" t="e">
        <f ca="1">[3]!terbilang(J110)</f>
        <v>#NAME?</v>
      </c>
      <c r="K111" s="154" t="e">
        <f ca="1">[3]!terbilang(K110)</f>
        <v>#NAME?</v>
      </c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W111" s="248"/>
      <c r="X111" s="248"/>
      <c r="Y111" s="248"/>
      <c r="Z111" s="248"/>
      <c r="AA111" s="154"/>
      <c r="AG111" s="154">
        <v>202787778</v>
      </c>
      <c r="AH111" s="154">
        <v>168013836</v>
      </c>
      <c r="AI111" s="154">
        <v>88797176</v>
      </c>
      <c r="AJ111" s="154">
        <v>287208700</v>
      </c>
      <c r="AP111" s="150" t="s">
        <v>108</v>
      </c>
    </row>
    <row r="112" spans="1:42">
      <c r="D112" s="193"/>
      <c r="E112" s="154"/>
      <c r="H112" s="154">
        <v>4585722587</v>
      </c>
      <c r="I112" s="154">
        <v>4863360703</v>
      </c>
      <c r="J112" s="182">
        <v>1775474953</v>
      </c>
      <c r="K112" s="193"/>
      <c r="L112" s="193"/>
      <c r="M112" s="193"/>
      <c r="N112" s="154"/>
      <c r="O112" s="154"/>
      <c r="P112" s="154"/>
      <c r="Q112" s="154"/>
      <c r="R112" s="154"/>
      <c r="S112" s="154"/>
      <c r="T112" s="154"/>
      <c r="U112" s="154"/>
      <c r="W112" s="154"/>
      <c r="X112" s="154"/>
      <c r="Y112" s="154"/>
      <c r="Z112" s="154"/>
      <c r="AA112" s="154"/>
      <c r="AD112" s="150" t="s">
        <v>415</v>
      </c>
      <c r="AF112" s="154">
        <v>1000000000</v>
      </c>
      <c r="AG112" s="154" t="e">
        <f ca="1">[3]!terbilang(AG111)</f>
        <v>#NAME?</v>
      </c>
      <c r="AH112" s="154" t="e">
        <f ca="1">[3]!terbilang(AH111)</f>
        <v>#NAME?</v>
      </c>
      <c r="AI112" s="154" t="e">
        <f ca="1">[3]!terbilang(AI111)</f>
        <v>#NAME?</v>
      </c>
      <c r="AJ112" s="154" t="e">
        <f ca="1">[3]!terbilang(AJ111)</f>
        <v>#NAME?</v>
      </c>
    </row>
    <row r="113" spans="3:36">
      <c r="C113" s="150"/>
      <c r="D113" s="154"/>
      <c r="E113" s="154"/>
      <c r="H113" s="154" t="e">
        <f ca="1">[3]!terbilang(H112)</f>
        <v>#NAME?</v>
      </c>
      <c r="I113" s="154" t="e">
        <f ca="1">[3]!terbilang(I112)</f>
        <v>#NAME?</v>
      </c>
      <c r="J113" s="154" t="e">
        <f ca="1">[3]!terbilang(J112)</f>
        <v>#NAME?</v>
      </c>
      <c r="K113" s="154" t="e">
        <f ca="1">[3]!terbilang(K112)</f>
        <v>#NAME?</v>
      </c>
      <c r="L113" s="154" t="e">
        <f ca="1">[3]!terbilang(L112)</f>
        <v>#NAME?</v>
      </c>
      <c r="M113" s="154"/>
      <c r="N113" s="154"/>
      <c r="O113" s="154"/>
      <c r="P113" s="154"/>
      <c r="Q113" s="154"/>
      <c r="R113" s="154"/>
      <c r="S113" s="154"/>
      <c r="T113" s="154"/>
      <c r="U113" s="154"/>
      <c r="W113" s="248"/>
      <c r="X113" s="154"/>
      <c r="Y113" s="154"/>
      <c r="Z113" s="154"/>
      <c r="AA113" s="154"/>
      <c r="AE113" s="154">
        <v>160312320</v>
      </c>
      <c r="AF113" s="154" t="e">
        <f ca="1">[3]!terbilang(AF112)</f>
        <v>#NAME?</v>
      </c>
      <c r="AG113" s="154"/>
      <c r="AH113" s="154"/>
      <c r="AI113" s="154"/>
      <c r="AJ113" s="154"/>
    </row>
    <row r="114" spans="3:36">
      <c r="C114" s="150"/>
      <c r="D114" s="154"/>
      <c r="E114" s="154"/>
      <c r="G114" s="154"/>
      <c r="H114" s="154"/>
      <c r="I114" s="154"/>
      <c r="J114" s="193"/>
      <c r="K114" s="193"/>
      <c r="L114" s="193"/>
      <c r="M114" s="193"/>
      <c r="N114" s="193"/>
      <c r="O114" s="193"/>
      <c r="P114" s="193"/>
      <c r="Q114" s="154"/>
      <c r="R114" s="154"/>
      <c r="S114" s="154"/>
      <c r="T114" s="154"/>
      <c r="U114" s="154"/>
      <c r="W114" s="154"/>
      <c r="X114" s="154"/>
      <c r="Y114" s="154"/>
      <c r="Z114" s="154"/>
      <c r="AA114" s="154"/>
      <c r="AE114" s="154" t="e">
        <f ca="1">[3]!terbilang(AE113)</f>
        <v>#NAME?</v>
      </c>
      <c r="AF114" s="154"/>
      <c r="AG114" s="154"/>
      <c r="AH114" s="154"/>
      <c r="AI114" s="154"/>
      <c r="AJ114" s="154"/>
    </row>
    <row r="115" spans="3:36">
      <c r="C115" s="150"/>
      <c r="D115" s="154"/>
      <c r="E115" s="154"/>
      <c r="G115" s="154"/>
      <c r="H115" s="154"/>
      <c r="I115" s="154"/>
      <c r="J115" s="193"/>
      <c r="K115" s="193"/>
      <c r="L115" s="193"/>
      <c r="M115" s="193"/>
      <c r="N115" s="193"/>
      <c r="O115" s="193"/>
      <c r="P115" s="193"/>
      <c r="Q115" s="154"/>
      <c r="R115" s="154"/>
      <c r="S115" s="154"/>
      <c r="T115" s="154"/>
      <c r="U115" s="154"/>
      <c r="W115" s="154"/>
      <c r="X115" s="154"/>
      <c r="Y115" s="154"/>
      <c r="Z115" s="154"/>
      <c r="AA115" s="154"/>
      <c r="AE115" s="154"/>
      <c r="AF115" s="154"/>
      <c r="AG115" s="154"/>
      <c r="AH115" s="154"/>
      <c r="AI115" s="154"/>
      <c r="AJ115" s="154"/>
    </row>
    <row r="116" spans="3:36">
      <c r="C116" s="150"/>
      <c r="D116" s="154"/>
      <c r="E116" s="154"/>
      <c r="G116" s="154"/>
      <c r="H116" s="154"/>
      <c r="I116" s="154"/>
      <c r="J116" s="193"/>
      <c r="K116" s="193"/>
      <c r="L116" s="193"/>
      <c r="M116" s="193"/>
      <c r="N116" s="193"/>
      <c r="O116" s="193"/>
      <c r="P116" s="193"/>
      <c r="Q116" s="154"/>
      <c r="R116" s="154"/>
      <c r="S116" s="154"/>
      <c r="T116" s="154"/>
      <c r="U116" s="154"/>
      <c r="W116" s="154"/>
      <c r="X116" s="154"/>
      <c r="Y116" s="154"/>
      <c r="Z116" s="154"/>
      <c r="AA116" s="154"/>
      <c r="AE116" s="154"/>
      <c r="AF116" s="154"/>
      <c r="AG116" s="154"/>
      <c r="AH116" s="154"/>
      <c r="AI116" s="154"/>
      <c r="AJ116" s="154"/>
    </row>
    <row r="117" spans="3:36">
      <c r="C117" s="150"/>
      <c r="D117" s="154"/>
      <c r="E117" s="154"/>
      <c r="G117" s="154"/>
      <c r="H117" s="154"/>
      <c r="I117" s="154" t="s">
        <v>111</v>
      </c>
      <c r="J117" s="193">
        <v>3644000</v>
      </c>
      <c r="K117" s="193"/>
      <c r="L117" s="193"/>
      <c r="M117" s="193"/>
      <c r="N117" s="193"/>
      <c r="O117" s="193"/>
      <c r="P117" s="193"/>
      <c r="Q117" s="154"/>
      <c r="R117" s="154"/>
      <c r="S117" s="154"/>
      <c r="T117" s="154"/>
      <c r="U117" s="154"/>
      <c r="W117" s="154"/>
      <c r="X117" s="154"/>
      <c r="Y117" s="154"/>
      <c r="Z117" s="154"/>
      <c r="AA117" s="154"/>
      <c r="AE117" s="154"/>
      <c r="AF117" s="154"/>
      <c r="AG117" s="154"/>
      <c r="AH117" s="154"/>
      <c r="AI117" s="154"/>
      <c r="AJ117" s="154"/>
    </row>
    <row r="118" spans="3:36">
      <c r="C118" s="150"/>
      <c r="D118" s="154"/>
      <c r="E118" s="154"/>
      <c r="G118" s="154"/>
      <c r="H118" s="154"/>
      <c r="I118" s="154"/>
      <c r="J118" s="193">
        <v>9786724</v>
      </c>
      <c r="K118" s="193"/>
      <c r="L118" s="193"/>
      <c r="M118" s="193"/>
      <c r="N118" s="193"/>
      <c r="O118" s="193"/>
      <c r="P118" s="193"/>
      <c r="Q118" s="154"/>
      <c r="R118" s="154"/>
      <c r="S118" s="154"/>
      <c r="T118" s="154"/>
      <c r="U118" s="154"/>
      <c r="W118" s="154"/>
      <c r="X118" s="154"/>
      <c r="Y118" s="154"/>
      <c r="Z118" s="154"/>
      <c r="AA118" s="154"/>
      <c r="AE118" s="154"/>
      <c r="AF118" s="154"/>
      <c r="AG118" s="154"/>
      <c r="AH118" s="154"/>
      <c r="AI118" s="154"/>
      <c r="AJ118" s="154"/>
    </row>
    <row r="119" spans="3:36">
      <c r="C119" s="150"/>
      <c r="D119" s="154"/>
      <c r="E119" s="154"/>
      <c r="G119" s="154"/>
      <c r="H119" s="154"/>
      <c r="I119" s="154"/>
      <c r="J119" s="193">
        <v>70128085</v>
      </c>
      <c r="K119" s="193"/>
      <c r="L119" s="193"/>
      <c r="M119" s="193"/>
      <c r="N119" s="193"/>
      <c r="O119" s="193"/>
      <c r="P119" s="193"/>
      <c r="Q119" s="154"/>
      <c r="R119" s="154"/>
      <c r="S119" s="154"/>
      <c r="T119" s="154"/>
      <c r="U119" s="154"/>
      <c r="W119" s="154"/>
      <c r="X119" s="154"/>
      <c r="Y119" s="154"/>
      <c r="Z119" s="154"/>
      <c r="AA119" s="154"/>
      <c r="AC119" s="150" t="s">
        <v>111</v>
      </c>
      <c r="AE119" s="154"/>
      <c r="AF119" s="154"/>
      <c r="AG119" s="154"/>
      <c r="AH119" s="154"/>
      <c r="AI119" s="154"/>
      <c r="AJ119" s="154"/>
    </row>
    <row r="120" spans="3:36">
      <c r="C120" s="150"/>
      <c r="D120" s="154"/>
      <c r="E120" s="154"/>
      <c r="G120" s="154"/>
      <c r="H120" s="154"/>
      <c r="I120" s="154"/>
      <c r="J120" s="193">
        <v>196049318</v>
      </c>
      <c r="K120" s="193"/>
      <c r="L120" s="193"/>
      <c r="M120" s="193"/>
      <c r="N120" s="193"/>
      <c r="O120" s="193"/>
      <c r="P120" s="193"/>
      <c r="Q120" s="154"/>
      <c r="R120" s="154"/>
      <c r="S120" s="154"/>
      <c r="T120" s="154"/>
      <c r="U120" s="154"/>
      <c r="W120" s="154"/>
      <c r="X120" s="154"/>
      <c r="Y120" s="154"/>
      <c r="Z120" s="154"/>
      <c r="AA120" s="154"/>
      <c r="AE120" s="154"/>
      <c r="AF120" s="154"/>
      <c r="AG120" s="154"/>
      <c r="AH120" s="154"/>
      <c r="AI120" s="154"/>
      <c r="AJ120" s="154"/>
    </row>
    <row r="121" spans="3:36">
      <c r="C121" s="150"/>
      <c r="D121" s="154"/>
      <c r="E121" s="154"/>
      <c r="G121" s="154"/>
      <c r="H121" s="154"/>
      <c r="I121" s="154"/>
      <c r="J121" s="193">
        <v>11409138</v>
      </c>
      <c r="K121" s="193"/>
      <c r="L121" s="193"/>
      <c r="M121" s="193"/>
      <c r="N121" s="193"/>
      <c r="O121" s="193"/>
      <c r="P121" s="193"/>
      <c r="Q121" s="154"/>
      <c r="R121" s="154"/>
      <c r="S121" s="154"/>
      <c r="T121" s="154"/>
      <c r="U121" s="154"/>
      <c r="W121" s="154"/>
      <c r="X121" s="154"/>
      <c r="Y121" s="154"/>
      <c r="Z121" s="154"/>
      <c r="AA121" s="154"/>
      <c r="AE121" s="154"/>
      <c r="AF121" s="154"/>
      <c r="AG121" s="154"/>
      <c r="AH121" s="154"/>
      <c r="AI121" s="154"/>
      <c r="AJ121" s="154"/>
    </row>
    <row r="122" spans="3:36">
      <c r="D122" s="193"/>
      <c r="F122" s="219"/>
      <c r="G122" s="154" t="e">
        <f ca="1">[3]!terbilang(G114)</f>
        <v>#NAME?</v>
      </c>
      <c r="H122" s="154">
        <v>8859000</v>
      </c>
      <c r="I122" s="154" t="e">
        <f ca="1">[3]!terbilang(I114)</f>
        <v>#NAME?</v>
      </c>
      <c r="J122" s="154">
        <v>57188986</v>
      </c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W122" s="154"/>
      <c r="X122" s="154"/>
      <c r="Y122" s="248" t="e">
        <f ca="1">[3]!terbilang(Y112)</f>
        <v>#NAME?</v>
      </c>
      <c r="Z122" s="154" t="s">
        <v>111</v>
      </c>
      <c r="AA122" s="154"/>
      <c r="AE122" s="154">
        <v>17329877</v>
      </c>
      <c r="AF122" s="154"/>
      <c r="AG122" s="154"/>
      <c r="AH122" s="154"/>
      <c r="AI122" s="154"/>
      <c r="AJ122" s="154"/>
    </row>
    <row r="123" spans="3:36">
      <c r="G123" s="154"/>
      <c r="H123" s="154" t="e">
        <f ca="1">[3]!terbilang(H122)</f>
        <v>#NAME?</v>
      </c>
      <c r="I123" s="193">
        <v>1089999</v>
      </c>
      <c r="J123" s="193">
        <v>15000000</v>
      </c>
      <c r="K123" s="193"/>
      <c r="L123" s="401" t="s">
        <v>547</v>
      </c>
      <c r="M123" s="401"/>
      <c r="N123" s="401"/>
      <c r="O123" s="154"/>
      <c r="P123" s="401" t="s">
        <v>619</v>
      </c>
      <c r="Q123" s="401"/>
      <c r="R123" s="401"/>
      <c r="S123" s="401" t="s">
        <v>627</v>
      </c>
      <c r="T123" s="401"/>
      <c r="U123" s="401"/>
      <c r="W123" s="248"/>
      <c r="X123" s="248"/>
      <c r="Y123" s="154"/>
      <c r="Z123" s="154"/>
      <c r="AA123" s="154"/>
      <c r="AE123" s="154" t="e">
        <f ca="1">[3]!terbilang(AE122)</f>
        <v>#NAME?</v>
      </c>
      <c r="AF123" s="154"/>
      <c r="AG123" s="154"/>
      <c r="AH123" s="154"/>
      <c r="AI123" s="154"/>
      <c r="AJ123" s="154"/>
    </row>
    <row r="124" spans="3:36">
      <c r="G124" s="154"/>
      <c r="H124" s="154"/>
      <c r="I124" s="154"/>
      <c r="J124" s="154">
        <f>SUM(J117:J123)</f>
        <v>363206251</v>
      </c>
      <c r="K124" s="154"/>
      <c r="L124" s="176" t="s">
        <v>230</v>
      </c>
      <c r="M124" s="176" t="s">
        <v>444</v>
      </c>
      <c r="N124" s="176" t="s">
        <v>445</v>
      </c>
      <c r="O124" s="154"/>
      <c r="P124" s="285" t="s">
        <v>230</v>
      </c>
      <c r="Q124" s="285" t="s">
        <v>444</v>
      </c>
      <c r="R124" s="285" t="s">
        <v>445</v>
      </c>
      <c r="S124" s="285" t="s">
        <v>230</v>
      </c>
      <c r="T124" s="285" t="s">
        <v>444</v>
      </c>
      <c r="U124" s="285" t="s">
        <v>445</v>
      </c>
      <c r="W124" s="154"/>
      <c r="X124" s="154"/>
      <c r="Y124" s="248" t="e">
        <f ca="1">[3]!terbilang(Y123)</f>
        <v>#NAME?</v>
      </c>
      <c r="Z124" s="248"/>
      <c r="AA124" s="154"/>
      <c r="AB124" s="154"/>
      <c r="AE124" s="154"/>
      <c r="AF124" s="154"/>
      <c r="AG124" s="154"/>
      <c r="AH124" s="154"/>
      <c r="AI124" s="154"/>
      <c r="AJ124" s="154"/>
    </row>
    <row r="125" spans="3:36">
      <c r="D125" s="193">
        <v>56628134</v>
      </c>
      <c r="E125" s="154">
        <v>11313793</v>
      </c>
      <c r="F125" s="154">
        <v>4903555261</v>
      </c>
      <c r="G125" s="154">
        <v>22883258</v>
      </c>
      <c r="H125" s="193" t="s">
        <v>111</v>
      </c>
      <c r="I125" s="154" t="s">
        <v>111</v>
      </c>
      <c r="J125" s="154"/>
      <c r="K125" s="154"/>
      <c r="L125" s="176" t="s">
        <v>548</v>
      </c>
      <c r="M125" s="176" t="s">
        <v>549</v>
      </c>
      <c r="N125" s="176">
        <v>60794473</v>
      </c>
      <c r="P125" s="176" t="s">
        <v>620</v>
      </c>
      <c r="Q125" s="176" t="s">
        <v>621</v>
      </c>
      <c r="R125" s="176">
        <v>5786000</v>
      </c>
      <c r="S125" s="176" t="s">
        <v>628</v>
      </c>
      <c r="T125" s="176" t="s">
        <v>629</v>
      </c>
      <c r="U125" s="176">
        <v>1440000</v>
      </c>
      <c r="W125" s="248"/>
      <c r="X125" s="248"/>
      <c r="Z125" s="154"/>
      <c r="AA125" s="154"/>
      <c r="AB125" s="154"/>
      <c r="AE125" s="154"/>
      <c r="AF125" s="154"/>
      <c r="AG125" s="154"/>
      <c r="AH125" s="154"/>
      <c r="AI125" s="154"/>
      <c r="AJ125" s="154"/>
    </row>
    <row r="126" spans="3:36">
      <c r="D126" s="193"/>
      <c r="E126" s="154"/>
      <c r="F126" s="154"/>
      <c r="G126" s="154"/>
      <c r="H126" s="193"/>
      <c r="I126" s="154"/>
      <c r="J126" s="154"/>
      <c r="K126" s="154"/>
      <c r="L126" s="176"/>
      <c r="M126" s="176"/>
      <c r="N126" s="176"/>
      <c r="P126" s="176" t="s">
        <v>625</v>
      </c>
      <c r="Q126" s="176" t="s">
        <v>626</v>
      </c>
      <c r="R126" s="176">
        <v>500000</v>
      </c>
      <c r="S126" s="176" t="s">
        <v>123</v>
      </c>
      <c r="T126" s="176" t="s">
        <v>630</v>
      </c>
      <c r="U126" s="176">
        <v>2620000</v>
      </c>
      <c r="W126" s="248"/>
      <c r="X126" s="248"/>
      <c r="Z126" s="154"/>
      <c r="AA126" s="154"/>
      <c r="AB126" s="154"/>
      <c r="AE126" s="154"/>
      <c r="AF126" s="154"/>
      <c r="AG126" s="154"/>
      <c r="AH126" s="154"/>
      <c r="AI126" s="154"/>
      <c r="AJ126" s="154"/>
    </row>
    <row r="127" spans="3:36">
      <c r="D127" s="193" t="e">
        <f ca="1">[3]!terbilang(D125)</f>
        <v>#NAME?</v>
      </c>
      <c r="E127" s="193" t="e">
        <f ca="1">[3]!terbilang(E125)</f>
        <v>#NAME?</v>
      </c>
      <c r="F127" s="193" t="e">
        <f ca="1">[3]!terbilang(F125)</f>
        <v>#NAME?</v>
      </c>
      <c r="G127" s="193" t="e">
        <f ca="1">[3]!terbilang(G125)</f>
        <v>#NAME?</v>
      </c>
      <c r="H127" s="193" t="e">
        <f ca="1">[3]!terbilang(H125)</f>
        <v>#NAME?</v>
      </c>
      <c r="I127" s="154" t="s">
        <v>108</v>
      </c>
      <c r="J127" s="154"/>
      <c r="K127" s="154"/>
      <c r="L127" s="176" t="s">
        <v>548</v>
      </c>
      <c r="M127" s="176" t="s">
        <v>550</v>
      </c>
      <c r="N127" s="176">
        <v>7848418</v>
      </c>
      <c r="P127" s="176" t="s">
        <v>437</v>
      </c>
      <c r="Q127" s="176" t="s">
        <v>622</v>
      </c>
      <c r="R127" s="176">
        <v>3015600</v>
      </c>
      <c r="S127" s="176" t="s">
        <v>134</v>
      </c>
      <c r="T127" s="176" t="s">
        <v>631</v>
      </c>
      <c r="U127" s="176">
        <v>4270000</v>
      </c>
      <c r="X127" s="154"/>
      <c r="Z127" s="154"/>
      <c r="AA127" s="154">
        <v>1687597784</v>
      </c>
      <c r="AB127" s="154">
        <v>1687597784</v>
      </c>
      <c r="AC127" s="154">
        <v>483162372</v>
      </c>
      <c r="AD127" s="154">
        <v>3902561</v>
      </c>
      <c r="AE127" s="154"/>
      <c r="AF127" s="154"/>
      <c r="AG127" s="154"/>
      <c r="AH127" s="154"/>
      <c r="AI127" s="154"/>
      <c r="AJ127" s="154"/>
    </row>
    <row r="128" spans="3:36">
      <c r="D128" s="193">
        <v>2867700789</v>
      </c>
      <c r="E128" s="193">
        <v>13711355</v>
      </c>
      <c r="F128" s="193">
        <v>2813544</v>
      </c>
      <c r="G128" s="193">
        <v>1144573898</v>
      </c>
      <c r="H128" s="193"/>
      <c r="I128" s="154"/>
      <c r="J128" s="154"/>
      <c r="K128" s="154"/>
      <c r="L128" s="176" t="s">
        <v>551</v>
      </c>
      <c r="M128" s="169" t="s">
        <v>552</v>
      </c>
      <c r="N128" s="176">
        <v>9685742</v>
      </c>
      <c r="P128" s="176" t="s">
        <v>623</v>
      </c>
      <c r="Q128" s="169" t="s">
        <v>624</v>
      </c>
      <c r="R128" s="176">
        <v>8643800</v>
      </c>
      <c r="S128" s="176"/>
      <c r="T128" s="169"/>
      <c r="U128" s="176"/>
      <c r="W128" s="154"/>
      <c r="X128" s="154">
        <v>30000</v>
      </c>
      <c r="Z128" s="154"/>
      <c r="AA128" s="154" t="e">
        <f ca="1">[3]!terbilang(AA127)</f>
        <v>#NAME?</v>
      </c>
      <c r="AB128" s="154" t="e">
        <f ca="1">[3]!terbilang(AB127)</f>
        <v>#NAME?</v>
      </c>
      <c r="AC128" s="154" t="e">
        <f ca="1">[3]!terbilang(AC127)</f>
        <v>#NAME?</v>
      </c>
      <c r="AD128" s="154" t="e">
        <f ca="1">[3]!terbilang(AD127)</f>
        <v>#NAME?</v>
      </c>
      <c r="AE128" s="154" t="e">
        <f ca="1">[3]!terbilang(AE127)</f>
        <v>#NAME?</v>
      </c>
      <c r="AF128" s="154"/>
      <c r="AG128" s="154"/>
      <c r="AH128" s="154"/>
      <c r="AI128" s="154"/>
      <c r="AJ128" s="154"/>
    </row>
    <row r="129" spans="3:34">
      <c r="C129" s="150"/>
      <c r="D129" s="193" t="s">
        <v>543</v>
      </c>
      <c r="E129" s="154"/>
      <c r="F129" s="154"/>
      <c r="G129" s="154"/>
      <c r="H129" s="154"/>
      <c r="I129" s="154"/>
      <c r="K129" s="193"/>
      <c r="L129" s="176" t="s">
        <v>562</v>
      </c>
      <c r="M129" s="169" t="s">
        <v>561</v>
      </c>
      <c r="N129" s="176">
        <v>7905800</v>
      </c>
      <c r="P129" s="176"/>
      <c r="Q129" s="169"/>
      <c r="R129" s="176"/>
      <c r="S129" s="176"/>
      <c r="T129" s="169"/>
      <c r="U129" s="176"/>
      <c r="W129" s="154"/>
      <c r="X129" s="154"/>
      <c r="AA129" s="154">
        <v>8434282</v>
      </c>
      <c r="AB129" s="154">
        <v>21008509</v>
      </c>
      <c r="AC129" s="154">
        <v>2695846196</v>
      </c>
      <c r="AD129" s="154">
        <v>3552000</v>
      </c>
      <c r="AE129" s="154"/>
      <c r="AF129" s="154"/>
      <c r="AG129" s="154"/>
      <c r="AH129" s="154"/>
    </row>
    <row r="130" spans="3:34">
      <c r="C130" s="150"/>
      <c r="D130" s="193" t="s">
        <v>542</v>
      </c>
      <c r="E130" s="154"/>
      <c r="F130" s="154"/>
      <c r="G130" s="154"/>
      <c r="H130" s="154"/>
      <c r="J130" s="154"/>
      <c r="K130" s="154"/>
      <c r="L130" s="227" t="s">
        <v>563</v>
      </c>
      <c r="M130" s="192"/>
      <c r="N130" s="227">
        <f>SUM(N125:N129)</f>
        <v>86234433</v>
      </c>
      <c r="P130" s="227" t="s">
        <v>563</v>
      </c>
      <c r="Q130" s="192"/>
      <c r="R130" s="227">
        <f>SUM(R125:R129)</f>
        <v>17945400</v>
      </c>
      <c r="S130" s="227" t="s">
        <v>563</v>
      </c>
      <c r="T130" s="192"/>
      <c r="U130" s="227">
        <f>SUM(U125:U129)</f>
        <v>8330000</v>
      </c>
      <c r="W130" s="248"/>
      <c r="X130" s="248" t="e">
        <f ca="1">[3]!terbilang(X129)</f>
        <v>#NAME?</v>
      </c>
      <c r="Z130" s="154"/>
      <c r="AA130" s="154" t="e">
        <f ca="1">[3]!terbilang(AA129)</f>
        <v>#NAME?</v>
      </c>
      <c r="AB130" s="154" t="e">
        <f ca="1">[3]!terbilang(AB129)</f>
        <v>#NAME?</v>
      </c>
      <c r="AC130" s="154" t="e">
        <f ca="1">[3]!terbilang(AC129)</f>
        <v>#NAME?</v>
      </c>
      <c r="AD130" s="154" t="e">
        <f ca="1">[3]!terbilang(AD129)</f>
        <v>#NAME?</v>
      </c>
      <c r="AF130" s="154"/>
      <c r="AG130" s="154"/>
      <c r="AH130" s="154"/>
    </row>
    <row r="131" spans="3:34">
      <c r="C131" s="150"/>
      <c r="D131" s="193"/>
      <c r="E131" s="193"/>
      <c r="F131" s="193"/>
      <c r="G131" s="193"/>
      <c r="H131" s="154"/>
      <c r="J131" s="193"/>
      <c r="K131" s="193"/>
      <c r="L131" s="154"/>
      <c r="N131" s="154"/>
      <c r="P131" s="154"/>
      <c r="Q131" s="154"/>
      <c r="R131" s="154"/>
      <c r="T131" s="154"/>
      <c r="Z131" s="154" t="s">
        <v>112</v>
      </c>
      <c r="AA131" s="154">
        <v>21276666</v>
      </c>
      <c r="AB131" s="154">
        <v>7518000</v>
      </c>
      <c r="AC131" s="154" t="s">
        <v>111</v>
      </c>
      <c r="AD131" s="154"/>
      <c r="AE131" s="154"/>
      <c r="AF131" s="154"/>
      <c r="AG131" s="154"/>
      <c r="AH131" s="154"/>
    </row>
    <row r="132" spans="3:34">
      <c r="C132" s="150"/>
      <c r="D132" s="193"/>
      <c r="E132" s="154" t="s">
        <v>104</v>
      </c>
      <c r="F132" s="154">
        <v>282181644</v>
      </c>
      <c r="G132" s="154"/>
      <c r="H132" s="154"/>
      <c r="J132" s="193"/>
      <c r="K132" s="193"/>
      <c r="L132" s="154"/>
      <c r="N132" s="154"/>
      <c r="P132" s="154"/>
      <c r="Q132" s="154"/>
      <c r="R132" s="154"/>
      <c r="T132" s="154"/>
      <c r="V132" s="185"/>
      <c r="X132" s="154"/>
      <c r="Z132" s="154"/>
      <c r="AA132" s="154" t="e">
        <f ca="1">[3]!terbilang(AA131)</f>
        <v>#NAME?</v>
      </c>
      <c r="AB132" s="154" t="e">
        <f ca="1">[3]!terbilang(AB131)</f>
        <v>#NAME?</v>
      </c>
      <c r="AC132" s="154" t="e">
        <f ca="1">[3]!terbilang(AC131)</f>
        <v>#NAME?</v>
      </c>
      <c r="AD132" s="154" t="e">
        <f ca="1">[3]!terbilang(AD131)</f>
        <v>#NAME?</v>
      </c>
      <c r="AE132" s="154" t="e">
        <f ca="1">[3]!terbilang(AE131)</f>
        <v>#NAME?</v>
      </c>
      <c r="AG132" s="154"/>
      <c r="AH132" s="154"/>
    </row>
    <row r="133" spans="3:34">
      <c r="C133" s="150"/>
      <c r="D133" s="193"/>
      <c r="E133" s="193" t="s">
        <v>651</v>
      </c>
      <c r="F133" s="193">
        <v>31039981</v>
      </c>
      <c r="G133" s="193"/>
      <c r="H133" s="154"/>
      <c r="I133" s="154">
        <v>300966517</v>
      </c>
      <c r="J133" s="193"/>
      <c r="K133" s="193"/>
      <c r="N133" s="154"/>
      <c r="R133" s="185"/>
      <c r="T133" s="154">
        <v>146013961</v>
      </c>
      <c r="U133" s="154">
        <v>13087000</v>
      </c>
      <c r="V133" s="154">
        <v>7529997</v>
      </c>
      <c r="W133" s="154">
        <v>8950000</v>
      </c>
      <c r="Z133" s="154" t="s">
        <v>111</v>
      </c>
      <c r="AA133" s="154">
        <v>10350000</v>
      </c>
      <c r="AB133" s="154">
        <v>22729543</v>
      </c>
      <c r="AC133" s="154">
        <v>16303742</v>
      </c>
      <c r="AD133" s="154"/>
      <c r="AE133" s="154"/>
      <c r="AF133" s="154"/>
    </row>
    <row r="134" spans="3:34">
      <c r="C134" s="150"/>
      <c r="D134" s="193" t="s">
        <v>545</v>
      </c>
      <c r="E134" s="154" t="s">
        <v>652</v>
      </c>
      <c r="F134" s="154">
        <f>F132*15%</f>
        <v>42327246.600000001</v>
      </c>
      <c r="G134" s="154"/>
      <c r="H134" s="154">
        <v>8845339</v>
      </c>
      <c r="I134" s="154"/>
      <c r="J134" s="193"/>
      <c r="K134" s="193"/>
      <c r="N134" s="154"/>
      <c r="R134" s="185">
        <v>44545</v>
      </c>
      <c r="S134" s="150" t="s">
        <v>112</v>
      </c>
      <c r="T134" s="154" t="e">
        <f ca="1">[3]!terbilang(T133)</f>
        <v>#NAME?</v>
      </c>
      <c r="U134" s="154" t="e">
        <f ca="1">[3]!terbilang(U133)</f>
        <v>#NAME?</v>
      </c>
      <c r="V134" s="154" t="e">
        <f ca="1">[3]!terbilang(V133)</f>
        <v>#NAME?</v>
      </c>
      <c r="W134" s="154" t="e">
        <f ca="1">[3]!terbilang(W133)</f>
        <v>#NAME?</v>
      </c>
      <c r="AA134" s="154" t="e">
        <f ca="1">[3]!terbilang(AA133)</f>
        <v>#NAME?</v>
      </c>
      <c r="AB134" s="154" t="e">
        <f ca="1">[3]!terbilang(AB133)</f>
        <v>#NAME?</v>
      </c>
      <c r="AC134" s="154" t="e">
        <f ca="1">[3]!terbilang(AC133)</f>
        <v>#NAME?</v>
      </c>
      <c r="AD134" s="154" t="e">
        <f ca="1">[3]!terbilang(AD133)</f>
        <v>#NAME?</v>
      </c>
    </row>
    <row r="135" spans="3:34">
      <c r="C135" s="150"/>
      <c r="D135" s="193"/>
      <c r="E135" s="154" t="s">
        <v>653</v>
      </c>
      <c r="F135" s="154">
        <f>F132+F133-F134</f>
        <v>270894378.39999998</v>
      </c>
      <c r="G135" s="154"/>
      <c r="H135" s="154">
        <v>59202460</v>
      </c>
      <c r="I135" s="154"/>
      <c r="J135" s="193"/>
      <c r="K135" s="193"/>
      <c r="N135" s="154"/>
      <c r="R135" s="185">
        <v>44545</v>
      </c>
      <c r="T135" s="154">
        <v>2775000</v>
      </c>
      <c r="U135" s="154">
        <v>77264972</v>
      </c>
      <c r="V135" s="150">
        <v>3031731</v>
      </c>
      <c r="W135" s="150">
        <v>3025000</v>
      </c>
      <c r="X135" s="150">
        <v>39097062</v>
      </c>
      <c r="AA135" s="154">
        <v>5260710</v>
      </c>
      <c r="AB135" s="154">
        <v>42449921</v>
      </c>
      <c r="AC135" s="154"/>
      <c r="AD135" s="154"/>
    </row>
    <row r="136" spans="3:34">
      <c r="C136" s="150"/>
      <c r="D136" s="193"/>
      <c r="E136" s="154" t="s">
        <v>112</v>
      </c>
      <c r="F136" s="154"/>
      <c r="G136" s="154"/>
      <c r="H136" s="154">
        <v>14400000</v>
      </c>
      <c r="I136" s="154"/>
      <c r="J136" s="193"/>
      <c r="K136" s="193" t="s">
        <v>658</v>
      </c>
      <c r="T136" s="154" t="e">
        <f ca="1">[3]!terbilang(T135)</f>
        <v>#NAME?</v>
      </c>
      <c r="U136" s="154" t="e">
        <f ca="1">[3]!terbilang(U135)</f>
        <v>#NAME?</v>
      </c>
      <c r="V136" s="154" t="e">
        <f ca="1">[3]!terbilang(V135)</f>
        <v>#NAME?</v>
      </c>
      <c r="W136" s="154" t="e">
        <f ca="1">[3]!terbilang(W135)</f>
        <v>#NAME?</v>
      </c>
      <c r="X136" s="154" t="e">
        <f ca="1">[3]!terbilang(X135)</f>
        <v>#NAME?</v>
      </c>
      <c r="Y136" s="154" t="e">
        <f ca="1">[3]!terbilang(Y135)</f>
        <v>#NAME?</v>
      </c>
      <c r="AA136" s="154" t="e">
        <f ca="1">[3]!terbilang(AA135)</f>
        <v>#NAME?</v>
      </c>
      <c r="AB136" s="154" t="e">
        <f ca="1">[3]!terbilang(AB135)</f>
        <v>#NAME?</v>
      </c>
      <c r="AC136" s="154" t="e">
        <f ca="1">[3]!terbilang(AC135)</f>
        <v>#NAME?</v>
      </c>
      <c r="AD136" s="154"/>
    </row>
    <row r="137" spans="3:34">
      <c r="C137" s="150"/>
      <c r="D137" s="193"/>
      <c r="E137" s="154"/>
      <c r="F137" s="154"/>
      <c r="G137" s="154"/>
      <c r="H137" s="154"/>
      <c r="I137" s="154"/>
      <c r="J137" s="193"/>
      <c r="K137" s="193"/>
      <c r="T137" s="154"/>
      <c r="U137" s="154">
        <v>900000</v>
      </c>
      <c r="V137" s="154">
        <v>26564276</v>
      </c>
      <c r="W137" s="154">
        <v>14544781</v>
      </c>
      <c r="X137" s="154">
        <v>60445323</v>
      </c>
      <c r="Y137" s="154">
        <v>99250443</v>
      </c>
      <c r="AA137" s="154"/>
      <c r="AB137" s="154"/>
      <c r="AC137" s="154"/>
      <c r="AD137" s="154"/>
    </row>
    <row r="138" spans="3:34">
      <c r="C138" s="150"/>
      <c r="D138" s="193"/>
      <c r="E138" s="154"/>
      <c r="F138" s="154"/>
      <c r="G138" s="154"/>
      <c r="H138" s="154"/>
      <c r="I138" s="154"/>
      <c r="J138" s="193"/>
      <c r="K138" s="193"/>
      <c r="T138" s="154"/>
      <c r="U138" s="154" t="e">
        <f ca="1">[3]!terbilang(U137)</f>
        <v>#NAME?</v>
      </c>
      <c r="V138" s="154" t="e">
        <f ca="1">[3]!terbilang(V137)</f>
        <v>#NAME?</v>
      </c>
      <c r="W138" s="154" t="e">
        <f ca="1">[3]!terbilang(W137)</f>
        <v>#NAME?</v>
      </c>
      <c r="X138" s="154" t="e">
        <f ca="1">[3]!terbilang(X137)</f>
        <v>#NAME?</v>
      </c>
      <c r="Y138" s="154" t="e">
        <f ca="1">[3]!terbilang(Y137)</f>
        <v>#NAME?</v>
      </c>
      <c r="AA138" s="154"/>
      <c r="AB138" s="154"/>
      <c r="AC138" s="154"/>
      <c r="AD138" s="154"/>
    </row>
    <row r="139" spans="3:34">
      <c r="C139" s="150"/>
      <c r="D139" s="193"/>
      <c r="E139" s="154"/>
      <c r="F139" s="154"/>
      <c r="G139" s="154"/>
      <c r="H139" s="154"/>
      <c r="I139" s="154"/>
      <c r="J139" s="193"/>
      <c r="K139" s="193"/>
      <c r="T139" s="154"/>
      <c r="U139" s="154">
        <v>32027156</v>
      </c>
      <c r="V139" s="154">
        <v>46748378</v>
      </c>
      <c r="W139" s="154"/>
      <c r="X139" s="154"/>
      <c r="Y139" s="154"/>
      <c r="AA139" s="154"/>
      <c r="AB139" s="154"/>
      <c r="AC139" s="154"/>
      <c r="AD139" s="154"/>
      <c r="AE139" s="150" t="s">
        <v>699</v>
      </c>
    </row>
    <row r="140" spans="3:34">
      <c r="C140" s="150"/>
      <c r="D140" s="193"/>
      <c r="E140" s="193"/>
      <c r="F140" s="193" t="s">
        <v>111</v>
      </c>
      <c r="G140" s="193"/>
      <c r="H140" s="154">
        <v>9735803</v>
      </c>
      <c r="I140" s="154"/>
      <c r="R140" s="185"/>
      <c r="U140" s="154" t="e">
        <f ca="1">[3]!terbilang(U139)</f>
        <v>#NAME?</v>
      </c>
      <c r="V140" s="154" t="e">
        <f ca="1">[3]!terbilang(V139)</f>
        <v>#NAME?</v>
      </c>
      <c r="W140" s="154" t="e">
        <f ca="1">[3]!terbilang(W139)</f>
        <v>#NAME?</v>
      </c>
      <c r="X140" s="154" t="e">
        <f ca="1">[3]!terbilang(X139)</f>
        <v>#NAME?</v>
      </c>
      <c r="Y140" s="154" t="e">
        <f ca="1">[3]!terbilang(Y139)</f>
        <v>#NAME?</v>
      </c>
      <c r="AA140" s="150" t="s">
        <v>111</v>
      </c>
      <c r="AB140" s="150" t="s">
        <v>111</v>
      </c>
      <c r="AD140" s="154"/>
      <c r="AE140" s="150" t="s">
        <v>694</v>
      </c>
      <c r="AG140" s="154">
        <v>14458500</v>
      </c>
    </row>
    <row r="141" spans="3:34">
      <c r="C141" s="150"/>
      <c r="D141" s="193">
        <v>55687323</v>
      </c>
      <c r="E141" s="154">
        <v>38649240</v>
      </c>
      <c r="F141" s="154">
        <v>155598458</v>
      </c>
      <c r="G141" s="154">
        <v>3757161272</v>
      </c>
      <c r="H141" s="154">
        <v>102022038</v>
      </c>
      <c r="I141" s="154"/>
      <c r="P141" s="154">
        <v>11766667</v>
      </c>
      <c r="Q141" s="154">
        <v>791969</v>
      </c>
      <c r="R141" s="154">
        <v>20079631</v>
      </c>
      <c r="S141" s="154">
        <v>1684952150</v>
      </c>
      <c r="T141" s="154" t="e">
        <f ca="1">[3]!terbilang(T140)</f>
        <v>#NAME?</v>
      </c>
      <c r="U141" s="154" t="e">
        <f ca="1">[3]!terbilang(U140)</f>
        <v>#NAME?</v>
      </c>
      <c r="V141" s="154" t="e">
        <f ca="1">[3]!terbilang(V140)</f>
        <v>#NAME?</v>
      </c>
      <c r="W141" s="154" t="e">
        <f ca="1">[3]!terbilang(W140)</f>
        <v>#NAME?</v>
      </c>
      <c r="X141" s="154" t="e">
        <f ca="1">[3]!terbilang(X140)</f>
        <v>#NAME?</v>
      </c>
      <c r="Y141" s="154" t="e">
        <f ca="1">[3]!terbilang(Y140)</f>
        <v>#NAME?</v>
      </c>
      <c r="AA141" s="154"/>
      <c r="AB141" s="154"/>
      <c r="AC141" s="154"/>
      <c r="AE141" s="150" t="s">
        <v>695</v>
      </c>
      <c r="AG141" s="154">
        <v>7914768</v>
      </c>
    </row>
    <row r="142" spans="3:34">
      <c r="C142" s="150"/>
      <c r="D142" s="193" t="e">
        <f ca="1">[3]!terbilang(D141)</f>
        <v>#NAME?</v>
      </c>
      <c r="E142" s="193" t="e">
        <f ca="1">[3]!terbilang(E141)</f>
        <v>#NAME?</v>
      </c>
      <c r="F142" s="193" t="e">
        <f ca="1">[3]!terbilang(F141)</f>
        <v>#NAME?</v>
      </c>
      <c r="G142" s="193" t="e">
        <f ca="1">[3]!terbilang(G141)</f>
        <v>#NAME?</v>
      </c>
      <c r="H142" s="154">
        <v>43801144</v>
      </c>
      <c r="I142" s="154"/>
      <c r="P142" s="154" t="e">
        <f ca="1">[3]!terbilang(P141)</f>
        <v>#NAME?</v>
      </c>
      <c r="Q142" s="154" t="e">
        <f ca="1">[3]!terbilang(Q141)</f>
        <v>#NAME?</v>
      </c>
      <c r="R142" s="154" t="e">
        <f ca="1">[3]!terbilang(R141)</f>
        <v>#NAME?</v>
      </c>
      <c r="S142" s="154" t="s">
        <v>89</v>
      </c>
      <c r="T142" s="154"/>
      <c r="AD142" s="154"/>
      <c r="AE142" s="150" t="s">
        <v>696</v>
      </c>
      <c r="AF142" s="150" t="s">
        <v>136</v>
      </c>
      <c r="AG142" s="154">
        <v>400000</v>
      </c>
    </row>
    <row r="143" spans="3:34">
      <c r="C143" s="150"/>
      <c r="D143" s="193">
        <v>21708043</v>
      </c>
      <c r="E143" s="154"/>
      <c r="F143" s="154"/>
      <c r="G143" s="154"/>
      <c r="H143" s="154">
        <v>408494</v>
      </c>
      <c r="I143" s="154"/>
      <c r="P143" s="154">
        <v>1889663</v>
      </c>
      <c r="Q143" s="154">
        <v>78873000</v>
      </c>
      <c r="R143" s="154">
        <v>14663364</v>
      </c>
      <c r="S143" s="154">
        <v>11409138</v>
      </c>
      <c r="T143" s="154"/>
      <c r="Y143" s="154"/>
      <c r="Z143" s="154"/>
      <c r="AA143" s="154"/>
      <c r="AB143" s="154"/>
      <c r="AC143" s="154"/>
      <c r="AE143" s="150" t="s">
        <v>697</v>
      </c>
      <c r="AF143" s="150" t="s">
        <v>136</v>
      </c>
      <c r="AG143" s="154">
        <v>1852000</v>
      </c>
    </row>
    <row r="144" spans="3:34">
      <c r="C144" s="150"/>
      <c r="D144" s="193">
        <v>2398726114</v>
      </c>
      <c r="E144" s="154">
        <v>2490573319</v>
      </c>
      <c r="F144" s="154">
        <v>989583824</v>
      </c>
      <c r="G144" s="154">
        <v>6074945</v>
      </c>
      <c r="H144" s="154"/>
      <c r="I144" s="154">
        <f>SUM(H134:H143)</f>
        <v>238415278</v>
      </c>
      <c r="P144" s="154" t="e">
        <f ca="1">[3]!terbilang(P143)</f>
        <v>#NAME?</v>
      </c>
      <c r="Q144" s="154" t="e">
        <f ca="1">[3]!terbilang(Q143)</f>
        <v>#NAME?</v>
      </c>
      <c r="R144" s="154" t="e">
        <f ca="1">[3]!terbilang(R143)</f>
        <v>#NAME?</v>
      </c>
      <c r="S144" s="154" t="e">
        <f ca="1">[3]!terbilang(S143)</f>
        <v>#NAME?</v>
      </c>
      <c r="T144" s="154"/>
      <c r="Y144" s="154"/>
      <c r="Z144" s="154"/>
      <c r="AB144" s="154"/>
      <c r="AC144" s="154"/>
      <c r="AD144" s="154"/>
      <c r="AE144" s="150" t="s">
        <v>698</v>
      </c>
      <c r="AF144" s="150" t="s">
        <v>124</v>
      </c>
      <c r="AG144" s="154">
        <v>1486080</v>
      </c>
    </row>
    <row r="145" spans="2:33">
      <c r="C145" s="150"/>
      <c r="D145" s="193" t="e">
        <f ca="1">[3]!terbilang(D144)</f>
        <v>#NAME?</v>
      </c>
      <c r="E145" s="193" t="e">
        <f ca="1">[3]!terbilang(E144)</f>
        <v>#NAME?</v>
      </c>
      <c r="F145" s="193" t="e">
        <f ca="1">[3]!terbilang(F144)</f>
        <v>#NAME?</v>
      </c>
      <c r="G145" s="193" t="e">
        <f ca="1">[3]!terbilang(G144)</f>
        <v>#NAME?</v>
      </c>
      <c r="H145" s="154"/>
      <c r="I145" s="154"/>
      <c r="J145" s="218">
        <f>I133-I144</f>
        <v>62551239</v>
      </c>
      <c r="P145" s="154">
        <v>5950000</v>
      </c>
      <c r="Q145" s="154">
        <v>77298480</v>
      </c>
      <c r="R145" s="154">
        <v>29688409</v>
      </c>
      <c r="S145" s="154">
        <v>1678000</v>
      </c>
      <c r="T145" s="154"/>
      <c r="Y145" s="154"/>
      <c r="Z145" s="154"/>
      <c r="AA145" s="154"/>
      <c r="AB145" s="154"/>
      <c r="AC145" s="154"/>
      <c r="AD145" s="154" t="s">
        <v>111</v>
      </c>
      <c r="AG145" s="154"/>
    </row>
    <row r="146" spans="2:33">
      <c r="C146" s="150"/>
      <c r="D146" s="154"/>
      <c r="E146" s="154"/>
      <c r="F146" s="154"/>
      <c r="G146" s="154"/>
      <c r="H146" s="154"/>
      <c r="I146" s="154"/>
      <c r="P146" s="154" t="e">
        <f ca="1">[3]!terbilang(P145)</f>
        <v>#NAME?</v>
      </c>
      <c r="Q146" s="154" t="e">
        <f ca="1">[3]!terbilang(Q145)</f>
        <v>#NAME?</v>
      </c>
      <c r="R146" s="154" t="e">
        <f ca="1">[3]!terbilang(R145)</f>
        <v>#NAME?</v>
      </c>
      <c r="S146" s="154" t="e">
        <f ca="1">[3]!terbilang(S145)</f>
        <v>#NAME?</v>
      </c>
      <c r="T146" s="154"/>
      <c r="Y146" s="154"/>
      <c r="Z146" s="154"/>
      <c r="AA146" s="154"/>
      <c r="AB146" s="154"/>
      <c r="AC146" s="154"/>
      <c r="AD146" s="154"/>
      <c r="AG146" s="154"/>
    </row>
    <row r="147" spans="2:33">
      <c r="C147" s="150"/>
      <c r="D147" s="154"/>
      <c r="E147" s="154"/>
      <c r="F147" s="154"/>
      <c r="G147" s="154"/>
      <c r="H147" s="154"/>
      <c r="I147" s="154"/>
      <c r="J147" s="193"/>
      <c r="P147" s="154"/>
      <c r="Q147" s="154">
        <v>3689932926</v>
      </c>
      <c r="R147" s="154"/>
      <c r="S147" s="154"/>
      <c r="T147" s="154"/>
      <c r="Y147" s="154"/>
      <c r="Z147" s="154"/>
      <c r="AA147" s="154"/>
      <c r="AB147" s="154"/>
      <c r="AC147" s="154"/>
      <c r="AD147" s="154"/>
    </row>
    <row r="148" spans="2:33">
      <c r="C148" s="150"/>
      <c r="D148" s="193"/>
      <c r="E148" s="193"/>
      <c r="F148" s="193"/>
      <c r="G148" s="193"/>
      <c r="H148" s="154"/>
      <c r="I148" s="154"/>
      <c r="J148" s="193">
        <v>242104606</v>
      </c>
      <c r="P148" s="154">
        <v>4424000</v>
      </c>
      <c r="Q148" s="154">
        <v>4424000</v>
      </c>
      <c r="R148" s="154" t="e">
        <f ca="1">[3]!terbilang(R147)</f>
        <v>#NAME?</v>
      </c>
      <c r="S148" s="154" t="e">
        <f ca="1">[3]!terbilang(S147)</f>
        <v>#NAME?</v>
      </c>
      <c r="T148" s="154" t="s">
        <v>678</v>
      </c>
      <c r="Y148" s="154"/>
      <c r="Z148" s="154"/>
      <c r="AA148" s="154"/>
      <c r="AB148" s="154"/>
      <c r="AC148" s="154"/>
      <c r="AD148" s="154"/>
    </row>
    <row r="149" spans="2:33">
      <c r="C149" s="150"/>
      <c r="D149" s="154"/>
      <c r="E149" s="154"/>
      <c r="F149" s="154"/>
      <c r="G149" s="154"/>
      <c r="H149" s="154"/>
      <c r="J149" s="154">
        <v>49062122</v>
      </c>
      <c r="K149" s="150"/>
      <c r="P149" s="154">
        <v>4424000</v>
      </c>
      <c r="Q149" s="154">
        <v>11751036</v>
      </c>
      <c r="R149" s="154">
        <v>3015600</v>
      </c>
      <c r="S149" s="154">
        <v>600739</v>
      </c>
      <c r="T149" s="154"/>
      <c r="Y149" s="154"/>
      <c r="Z149" s="154"/>
      <c r="AA149" s="154"/>
      <c r="AB149" s="154"/>
      <c r="AC149" s="154"/>
      <c r="AD149" s="154">
        <v>1870843551</v>
      </c>
      <c r="AE149" s="154"/>
    </row>
    <row r="150" spans="2:33">
      <c r="C150" s="150"/>
      <c r="D150" s="193"/>
      <c r="E150" s="193"/>
      <c r="F150" s="193"/>
      <c r="G150" s="193"/>
      <c r="J150" s="154">
        <v>47292120</v>
      </c>
      <c r="K150" s="150"/>
      <c r="P150" s="154" t="e">
        <f ca="1">[3]!terbilang(P149)</f>
        <v>#NAME?</v>
      </c>
      <c r="Q150" s="154" t="e">
        <f ca="1">[3]!terbilang(Q149)</f>
        <v>#NAME?</v>
      </c>
      <c r="R150" s="154" t="e">
        <f ca="1">[3]!terbilang(R149)</f>
        <v>#NAME?</v>
      </c>
      <c r="S150" s="154" t="e">
        <f ca="1">[3]!terbilang(S149)</f>
        <v>#NAME?</v>
      </c>
      <c r="T150" s="154"/>
      <c r="Y150" s="154"/>
      <c r="Z150" s="154"/>
      <c r="AA150" s="154"/>
      <c r="AB150" s="154"/>
      <c r="AC150" s="154"/>
      <c r="AD150" s="154" t="e">
        <f ca="1">[3]!terbilang(AD149)</f>
        <v>#NAME?</v>
      </c>
      <c r="AE150" s="154"/>
    </row>
    <row r="151" spans="2:33">
      <c r="C151" s="150"/>
      <c r="D151" s="154"/>
      <c r="E151" s="154"/>
      <c r="F151" s="154"/>
      <c r="G151" s="154"/>
      <c r="H151" s="154"/>
      <c r="J151" s="154">
        <v>101877980</v>
      </c>
      <c r="K151" s="150"/>
      <c r="P151" s="154">
        <v>1030905</v>
      </c>
      <c r="Q151" s="154">
        <v>756000</v>
      </c>
      <c r="R151" s="154">
        <v>42212300</v>
      </c>
      <c r="S151" s="154">
        <v>9467700</v>
      </c>
      <c r="T151" s="154"/>
      <c r="Y151" s="154"/>
      <c r="Z151" s="154"/>
      <c r="AA151" s="154"/>
      <c r="AB151" s="154"/>
      <c r="AC151" s="154"/>
      <c r="AD151" s="154"/>
      <c r="AE151" s="154"/>
    </row>
    <row r="152" spans="2:33">
      <c r="C152" s="150"/>
      <c r="D152" s="193"/>
      <c r="E152" s="193"/>
      <c r="F152" s="193"/>
      <c r="G152" s="193"/>
      <c r="H152" s="193"/>
      <c r="J152" s="154">
        <v>41198822</v>
      </c>
      <c r="K152" s="150"/>
      <c r="P152" s="154" t="e">
        <f ca="1">[3]!terbilang(P151)</f>
        <v>#NAME?</v>
      </c>
      <c r="Q152" s="154" t="e">
        <f ca="1">[3]!terbilang(Q151)</f>
        <v>#NAME?</v>
      </c>
      <c r="R152" s="154" t="e">
        <f ca="1">[3]!terbilang(R151)</f>
        <v>#NAME?</v>
      </c>
      <c r="S152" s="154" t="e">
        <f ca="1">[3]!terbilang(S151)</f>
        <v>#NAME?</v>
      </c>
      <c r="Y152" s="154"/>
      <c r="Z152" s="154"/>
      <c r="AA152" s="154"/>
      <c r="AB152" s="154"/>
      <c r="AC152" s="154"/>
      <c r="AD152" s="154" t="e">
        <f ca="1">[3]!terbilang(AD151)</f>
        <v>#NAME?</v>
      </c>
      <c r="AE152" s="154"/>
    </row>
    <row r="153" spans="2:33">
      <c r="D153" s="193"/>
      <c r="E153" s="154"/>
      <c r="F153" s="154"/>
      <c r="G153" s="154"/>
      <c r="J153" s="154">
        <v>12969890</v>
      </c>
      <c r="K153" s="150"/>
      <c r="P153" s="154"/>
      <c r="R153" s="154"/>
      <c r="AD153" s="154"/>
      <c r="AE153" s="154"/>
    </row>
    <row r="154" spans="2:33">
      <c r="D154" s="193"/>
      <c r="E154" s="154"/>
      <c r="F154" s="154"/>
      <c r="G154" s="154"/>
      <c r="J154" s="154">
        <v>30314078</v>
      </c>
      <c r="K154" s="150"/>
      <c r="P154" s="154"/>
      <c r="R154" s="154"/>
    </row>
    <row r="155" spans="2:33">
      <c r="B155" s="150" t="s">
        <v>666</v>
      </c>
      <c r="C155" s="150"/>
      <c r="D155" s="154"/>
      <c r="E155" s="154"/>
      <c r="F155" s="154"/>
      <c r="G155" s="154"/>
      <c r="J155" s="154"/>
      <c r="K155" s="150"/>
      <c r="P155" s="154"/>
      <c r="Q155" s="154">
        <v>2722753720</v>
      </c>
      <c r="R155" s="154"/>
      <c r="S155" s="154"/>
      <c r="X155" s="154"/>
      <c r="AA155" s="154"/>
      <c r="AB155" s="154"/>
      <c r="AC155" s="154"/>
    </row>
    <row r="156" spans="2:33">
      <c r="C156" s="150"/>
      <c r="D156" s="154"/>
      <c r="E156" s="154"/>
      <c r="F156" s="154"/>
      <c r="G156" s="154"/>
      <c r="J156" s="154">
        <f>SUM(J148:J155)</f>
        <v>524819618</v>
      </c>
      <c r="K156" s="150"/>
      <c r="P156" s="154"/>
      <c r="Q156" s="154"/>
      <c r="R156" s="154"/>
      <c r="S156" s="154"/>
      <c r="X156" s="154"/>
      <c r="AA156" s="154"/>
      <c r="AB156" s="154"/>
      <c r="AC156" s="154"/>
    </row>
    <row r="157" spans="2:33">
      <c r="B157" s="150" t="s">
        <v>667</v>
      </c>
      <c r="C157" s="150"/>
      <c r="D157" s="150"/>
      <c r="J157" s="154"/>
      <c r="K157" s="150"/>
      <c r="P157" s="154"/>
      <c r="Q157" s="154"/>
      <c r="R157" s="154">
        <v>877014107</v>
      </c>
      <c r="S157" s="154"/>
      <c r="X157" s="154"/>
      <c r="AA157" s="154"/>
      <c r="AB157" s="154"/>
      <c r="AC157" s="154"/>
    </row>
    <row r="158" spans="2:33">
      <c r="C158" s="150"/>
      <c r="D158" s="154"/>
      <c r="E158" s="154"/>
      <c r="F158" s="154"/>
      <c r="G158" s="154"/>
      <c r="J158" s="193"/>
      <c r="P158" s="154"/>
      <c r="Q158" s="154"/>
      <c r="R158" s="154">
        <v>3605000</v>
      </c>
      <c r="S158" s="154"/>
      <c r="X158" s="154"/>
      <c r="AA158" s="154"/>
      <c r="AB158" s="154"/>
      <c r="AC158" s="154"/>
    </row>
    <row r="159" spans="2:33">
      <c r="C159" s="150"/>
      <c r="D159" s="193"/>
      <c r="E159" s="193"/>
      <c r="F159" s="193"/>
      <c r="G159" s="193"/>
      <c r="P159" s="154"/>
      <c r="Q159" s="154"/>
      <c r="R159" s="154">
        <v>2550000</v>
      </c>
      <c r="S159" s="154"/>
      <c r="W159" s="154"/>
      <c r="X159" s="154"/>
      <c r="AA159" s="154"/>
      <c r="AB159" s="154"/>
      <c r="AC159" s="154"/>
    </row>
    <row r="160" spans="2:33">
      <c r="C160" s="150"/>
      <c r="D160" s="150"/>
      <c r="J160" s="150"/>
      <c r="K160" s="150"/>
      <c r="P160" s="154"/>
      <c r="Q160" s="154"/>
      <c r="R160" s="154">
        <v>10000000</v>
      </c>
      <c r="S160" s="154"/>
      <c r="X160" s="154"/>
      <c r="AA160" s="154"/>
      <c r="AB160" s="154"/>
      <c r="AC160" s="154"/>
    </row>
    <row r="161" spans="3:29">
      <c r="C161" s="150"/>
      <c r="D161" s="150"/>
      <c r="J161" s="150"/>
      <c r="K161" s="150"/>
      <c r="P161" s="154"/>
      <c r="Q161" s="154"/>
      <c r="R161" s="154">
        <v>1320000</v>
      </c>
      <c r="S161" s="154"/>
      <c r="X161" s="154"/>
      <c r="AA161" s="154"/>
      <c r="AB161" s="154"/>
      <c r="AC161" s="154"/>
    </row>
    <row r="162" spans="3:29">
      <c r="C162" s="150"/>
      <c r="D162" s="150"/>
      <c r="E162" s="245">
        <f>C162+D162</f>
        <v>0</v>
      </c>
      <c r="F162" s="241">
        <v>151858375</v>
      </c>
      <c r="I162" s="150" t="s">
        <v>111</v>
      </c>
      <c r="J162" s="150"/>
      <c r="K162" s="150"/>
      <c r="P162" s="154"/>
      <c r="Q162" s="154"/>
      <c r="R162" s="154">
        <v>1013543</v>
      </c>
      <c r="S162" s="154"/>
      <c r="X162" s="154"/>
      <c r="AA162" s="154"/>
      <c r="AB162" s="154"/>
      <c r="AC162" s="154"/>
    </row>
    <row r="163" spans="3:29">
      <c r="C163" s="150"/>
      <c r="D163" s="150"/>
      <c r="E163" s="245">
        <f t="shared" ref="E163:E184" si="4">C163+D163</f>
        <v>0</v>
      </c>
      <c r="F163" s="241">
        <v>151858375</v>
      </c>
      <c r="J163" s="150"/>
      <c r="K163" s="150"/>
      <c r="P163" s="154"/>
      <c r="Q163" s="154"/>
      <c r="R163" s="154">
        <v>1042324</v>
      </c>
      <c r="S163" s="154"/>
      <c r="X163" s="154"/>
      <c r="AA163" s="154"/>
      <c r="AB163" s="154"/>
      <c r="AC163" s="154"/>
    </row>
    <row r="164" spans="3:29">
      <c r="C164" s="150"/>
      <c r="D164" s="150"/>
      <c r="E164" s="245">
        <f t="shared" si="4"/>
        <v>0</v>
      </c>
      <c r="F164" s="241">
        <v>15635402</v>
      </c>
      <c r="J164" s="150"/>
      <c r="K164" s="150"/>
      <c r="Q164" s="154"/>
      <c r="R164" s="154">
        <v>356740</v>
      </c>
      <c r="S164" s="154"/>
      <c r="X164" s="154"/>
      <c r="AA164" s="154"/>
      <c r="AB164" s="154"/>
      <c r="AC164" s="154"/>
    </row>
    <row r="165" spans="3:29">
      <c r="C165" s="150"/>
      <c r="D165" s="150"/>
      <c r="E165" s="245"/>
      <c r="F165" s="241"/>
      <c r="J165" s="150"/>
      <c r="K165" s="175" t="s">
        <v>675</v>
      </c>
      <c r="L165" s="175">
        <v>78301201</v>
      </c>
      <c r="M165" s="175" t="s">
        <v>677</v>
      </c>
      <c r="N165" s="175">
        <v>10775039</v>
      </c>
      <c r="Q165" s="154"/>
      <c r="R165" s="154">
        <f>1444898479+10476291</f>
        <v>1455374770</v>
      </c>
      <c r="S165" s="154"/>
      <c r="X165" s="154"/>
      <c r="AA165" s="154"/>
      <c r="AB165" s="154"/>
      <c r="AC165" s="154"/>
    </row>
    <row r="166" spans="3:29">
      <c r="C166" s="150"/>
      <c r="D166" s="150"/>
      <c r="E166" s="245">
        <f t="shared" si="4"/>
        <v>0</v>
      </c>
      <c r="F166" s="241">
        <v>417819202</v>
      </c>
      <c r="J166" s="150"/>
      <c r="K166" s="175" t="s">
        <v>676</v>
      </c>
      <c r="L166" s="175">
        <v>16408200</v>
      </c>
      <c r="M166" s="175">
        <v>231</v>
      </c>
      <c r="N166" s="175">
        <v>5696639</v>
      </c>
      <c r="Q166" s="154"/>
      <c r="R166" s="154">
        <v>142000000</v>
      </c>
      <c r="S166" s="154"/>
      <c r="X166" s="154"/>
      <c r="AA166" s="154"/>
      <c r="AB166" s="154"/>
      <c r="AC166" s="154"/>
    </row>
    <row r="167" spans="3:29">
      <c r="C167" s="150"/>
      <c r="D167" s="150"/>
      <c r="E167" s="245"/>
      <c r="F167" s="241"/>
      <c r="J167" s="150"/>
      <c r="K167" s="175"/>
      <c r="L167" s="175"/>
      <c r="M167" s="175">
        <v>232</v>
      </c>
      <c r="N167" s="175">
        <v>13247999</v>
      </c>
      <c r="Q167" s="154"/>
      <c r="R167" s="154">
        <v>130000000</v>
      </c>
      <c r="S167" s="154"/>
      <c r="X167" s="154"/>
      <c r="AA167" s="154"/>
      <c r="AB167" s="154"/>
      <c r="AC167" s="154"/>
    </row>
    <row r="168" spans="3:29">
      <c r="C168" s="150"/>
      <c r="D168" s="150"/>
      <c r="E168" s="245"/>
      <c r="F168" s="241"/>
      <c r="J168" s="150"/>
      <c r="K168" s="150"/>
      <c r="Q168" s="154"/>
      <c r="R168" s="154"/>
      <c r="S168" s="154"/>
      <c r="X168" s="154"/>
      <c r="AA168" s="154"/>
      <c r="AB168" s="154"/>
      <c r="AC168" s="154"/>
    </row>
    <row r="169" spans="3:29">
      <c r="C169" s="150"/>
      <c r="D169" s="150"/>
      <c r="E169" s="245"/>
      <c r="F169" s="241"/>
      <c r="J169" s="150"/>
      <c r="K169" s="150"/>
      <c r="Q169" s="154"/>
      <c r="R169" s="154"/>
      <c r="S169" s="154"/>
      <c r="X169" s="154"/>
      <c r="AA169" s="154"/>
      <c r="AB169" s="154"/>
      <c r="AC169" s="154"/>
    </row>
    <row r="170" spans="3:29">
      <c r="E170" s="245">
        <f t="shared" si="4"/>
        <v>0</v>
      </c>
      <c r="F170" s="241">
        <v>8266215</v>
      </c>
      <c r="J170" s="150"/>
      <c r="K170" s="150"/>
      <c r="Q170" s="154"/>
      <c r="R170" s="154">
        <f>SUM(R157:R167)</f>
        <v>2624276484</v>
      </c>
      <c r="S170" s="154"/>
    </row>
    <row r="171" spans="3:29">
      <c r="E171" s="245">
        <f t="shared" si="4"/>
        <v>0</v>
      </c>
      <c r="F171" s="241">
        <v>8266215</v>
      </c>
      <c r="J171" s="150"/>
      <c r="K171" s="150"/>
      <c r="Q171" s="154"/>
      <c r="R171" s="154"/>
      <c r="S171" s="154"/>
    </row>
    <row r="172" spans="3:29">
      <c r="E172" s="245">
        <f t="shared" si="4"/>
        <v>0</v>
      </c>
      <c r="F172" s="242">
        <v>42795328</v>
      </c>
      <c r="J172" s="150"/>
      <c r="K172" s="150"/>
      <c r="Q172" s="154">
        <f>Q155-R170</f>
        <v>98477236</v>
      </c>
      <c r="R172" s="154"/>
      <c r="S172" s="154"/>
    </row>
    <row r="173" spans="3:29">
      <c r="C173" s="150"/>
      <c r="D173" s="150"/>
      <c r="E173" s="245">
        <f t="shared" si="4"/>
        <v>0</v>
      </c>
      <c r="F173" s="241">
        <v>26265232</v>
      </c>
      <c r="J173" s="150"/>
      <c r="K173" s="150"/>
      <c r="Q173" s="154"/>
      <c r="R173" s="154"/>
      <c r="S173" s="154"/>
    </row>
    <row r="174" spans="3:29">
      <c r="C174" s="150"/>
      <c r="D174" s="150"/>
      <c r="E174" s="245">
        <f t="shared" si="4"/>
        <v>0</v>
      </c>
      <c r="F174" s="242">
        <v>26265232</v>
      </c>
      <c r="I174" s="150" t="s">
        <v>112</v>
      </c>
      <c r="Q174" s="154"/>
      <c r="R174" s="154"/>
      <c r="S174" s="154"/>
    </row>
    <row r="175" spans="3:29">
      <c r="C175" s="150"/>
      <c r="D175" s="150"/>
      <c r="E175" s="245">
        <f t="shared" si="4"/>
        <v>0</v>
      </c>
      <c r="F175" s="242">
        <v>199624868</v>
      </c>
      <c r="Q175" s="154"/>
      <c r="R175" s="154"/>
      <c r="S175" s="154"/>
    </row>
    <row r="176" spans="3:29">
      <c r="C176" s="150"/>
      <c r="D176" s="150"/>
      <c r="E176" s="245">
        <f t="shared" si="4"/>
        <v>0</v>
      </c>
      <c r="F176" s="241">
        <v>19684245</v>
      </c>
    </row>
    <row r="177" spans="3:11">
      <c r="C177" s="150"/>
      <c r="D177" s="150"/>
      <c r="E177" s="245">
        <f t="shared" si="4"/>
        <v>0</v>
      </c>
      <c r="F177" s="241">
        <v>77905425</v>
      </c>
      <c r="J177" s="150"/>
      <c r="K177" s="150"/>
    </row>
    <row r="178" spans="3:11">
      <c r="C178" s="150"/>
      <c r="D178" s="150"/>
      <c r="E178" s="245">
        <f t="shared" si="4"/>
        <v>0</v>
      </c>
      <c r="F178" s="241">
        <v>4441476</v>
      </c>
      <c r="J178" s="150"/>
      <c r="K178" s="150"/>
    </row>
    <row r="179" spans="3:11">
      <c r="C179" s="150"/>
      <c r="D179" s="150"/>
      <c r="E179" s="245">
        <f t="shared" si="4"/>
        <v>0</v>
      </c>
      <c r="F179" s="241">
        <v>4266433</v>
      </c>
      <c r="J179" s="150"/>
      <c r="K179" s="150"/>
    </row>
    <row r="180" spans="3:11">
      <c r="C180" s="150"/>
      <c r="D180" s="150"/>
      <c r="E180" s="245">
        <f t="shared" si="4"/>
        <v>0</v>
      </c>
      <c r="F180" s="241">
        <v>852429</v>
      </c>
      <c r="J180" s="150"/>
      <c r="K180" s="150"/>
    </row>
    <row r="181" spans="3:11">
      <c r="C181" s="150"/>
      <c r="D181" s="150"/>
      <c r="E181" s="245">
        <f t="shared" si="4"/>
        <v>0</v>
      </c>
      <c r="F181" s="241">
        <v>852429</v>
      </c>
      <c r="H181" s="154"/>
      <c r="J181" s="150"/>
      <c r="K181" s="150"/>
    </row>
    <row r="182" spans="3:11">
      <c r="C182" s="150"/>
      <c r="D182" s="150"/>
      <c r="E182" s="245">
        <f t="shared" si="4"/>
        <v>0</v>
      </c>
      <c r="F182" s="242">
        <v>112121856</v>
      </c>
      <c r="H182" s="154"/>
      <c r="J182" s="150"/>
      <c r="K182" s="150"/>
    </row>
    <row r="183" spans="3:11">
      <c r="C183" s="150"/>
      <c r="D183" s="150"/>
      <c r="E183" s="245">
        <f t="shared" si="4"/>
        <v>0</v>
      </c>
      <c r="F183" s="241">
        <v>95897725</v>
      </c>
      <c r="H183" s="154"/>
      <c r="J183" s="150"/>
      <c r="K183" s="150"/>
    </row>
    <row r="184" spans="3:11">
      <c r="C184" s="150"/>
      <c r="D184" s="150"/>
      <c r="E184" s="245">
        <f t="shared" si="4"/>
        <v>0</v>
      </c>
      <c r="F184" s="242">
        <v>611033945</v>
      </c>
      <c r="H184" s="154"/>
      <c r="J184" s="150"/>
      <c r="K184" s="150"/>
    </row>
    <row r="185" spans="3:11">
      <c r="C185" s="150"/>
      <c r="D185" s="150"/>
      <c r="F185" s="243"/>
      <c r="H185" s="154"/>
      <c r="J185" s="150"/>
      <c r="K185" s="150"/>
    </row>
    <row r="186" spans="3:11">
      <c r="H186" s="193" t="e">
        <f ca="1">[3]!terbilang(H185)</f>
        <v>#NAME?</v>
      </c>
      <c r="J186" s="150"/>
      <c r="K186" s="150"/>
    </row>
    <row r="187" spans="3:11">
      <c r="D187" s="193">
        <v>97846397</v>
      </c>
      <c r="E187" s="154">
        <v>2865371212</v>
      </c>
      <c r="F187" s="154">
        <v>89668307</v>
      </c>
      <c r="G187" s="154">
        <v>140646841</v>
      </c>
      <c r="H187" s="154"/>
      <c r="J187" s="150"/>
      <c r="K187" s="150"/>
    </row>
    <row r="188" spans="3:11">
      <c r="D188" s="193"/>
      <c r="E188" s="154"/>
      <c r="F188" s="154"/>
      <c r="G188" s="154"/>
      <c r="H188" s="154"/>
      <c r="J188" s="150"/>
      <c r="K188" s="150"/>
    </row>
    <row r="189" spans="3:11">
      <c r="D189" s="182" t="e">
        <f ca="1">[3]!terbilang(D187)</f>
        <v>#NAME?</v>
      </c>
      <c r="E189" s="193" t="e">
        <f ca="1">[3]!terbilang(E187)</f>
        <v>#NAME?</v>
      </c>
      <c r="F189" s="193" t="e">
        <f ca="1">[3]!terbilang(F187)</f>
        <v>#NAME?</v>
      </c>
      <c r="G189" s="193" t="e">
        <f ca="1">[3]!terbilang(G187)</f>
        <v>#NAME?</v>
      </c>
      <c r="H189" s="154"/>
      <c r="J189" s="150"/>
      <c r="K189" s="150"/>
    </row>
    <row r="190" spans="3:11">
      <c r="C190" s="150"/>
      <c r="D190" s="193"/>
      <c r="E190" s="154"/>
      <c r="F190" s="154"/>
      <c r="G190" s="154"/>
      <c r="H190" s="154"/>
      <c r="J190" s="150"/>
      <c r="K190" s="150"/>
    </row>
    <row r="191" spans="3:11">
      <c r="C191" s="150"/>
      <c r="D191" s="193">
        <v>14952300</v>
      </c>
      <c r="E191" s="154">
        <v>25686590</v>
      </c>
      <c r="F191" s="154">
        <v>12165006</v>
      </c>
      <c r="G191" s="154">
        <v>33728185</v>
      </c>
      <c r="H191" s="154"/>
      <c r="J191" s="150"/>
      <c r="K191" s="150"/>
    </row>
    <row r="192" spans="3:11">
      <c r="C192" s="150"/>
      <c r="D192" s="193" t="e">
        <f ca="1">[3]!terbilang(D191)</f>
        <v>#NAME?</v>
      </c>
      <c r="E192" s="193" t="e">
        <f ca="1">[3]!terbilang(E191)</f>
        <v>#NAME?</v>
      </c>
      <c r="F192" s="193" t="e">
        <f ca="1">[3]!terbilang(F191)</f>
        <v>#NAME?</v>
      </c>
      <c r="G192" s="193" t="e">
        <f ca="1">[3]!terbilang(G191)</f>
        <v>#NAME?</v>
      </c>
      <c r="H192" s="154"/>
      <c r="J192" s="150"/>
      <c r="K192" s="150"/>
    </row>
    <row r="193" spans="3:11">
      <c r="C193" s="150"/>
      <c r="D193" s="193"/>
      <c r="E193" s="193"/>
      <c r="F193" s="193"/>
      <c r="G193" s="193"/>
      <c r="H193" s="193" t="e">
        <f ca="1">[3]!terbilang(H191)</f>
        <v>#NAME?</v>
      </c>
      <c r="J193" s="150"/>
      <c r="K193" s="150"/>
    </row>
    <row r="194" spans="3:11">
      <c r="C194" s="150"/>
      <c r="D194" s="193">
        <v>48422213</v>
      </c>
      <c r="E194" s="154">
        <v>36753941</v>
      </c>
      <c r="F194" s="154">
        <v>31079686</v>
      </c>
      <c r="G194" s="154">
        <v>20004300</v>
      </c>
      <c r="H194" s="154"/>
      <c r="J194" s="150"/>
      <c r="K194" s="150"/>
    </row>
    <row r="195" spans="3:11">
      <c r="C195" s="150"/>
      <c r="D195" s="193"/>
      <c r="E195" s="154"/>
      <c r="F195" s="154"/>
      <c r="G195" s="154"/>
      <c r="H195" s="154"/>
      <c r="J195" s="150"/>
      <c r="K195" s="150"/>
    </row>
    <row r="196" spans="3:11">
      <c r="C196" s="150"/>
      <c r="D196" s="193" t="e">
        <f ca="1">[3]!terbilang(D194)</f>
        <v>#NAME?</v>
      </c>
      <c r="E196" s="193" t="e">
        <f ca="1">[3]!terbilang(E194)</f>
        <v>#NAME?</v>
      </c>
      <c r="F196" s="193" t="e">
        <f ca="1">[3]!terbilang(F194)</f>
        <v>#NAME?</v>
      </c>
      <c r="G196" s="193" t="e">
        <f ca="1">[3]!terbilang(G194)</f>
        <v>#NAME?</v>
      </c>
      <c r="H196" s="154"/>
      <c r="J196" s="150"/>
      <c r="K196" s="150"/>
    </row>
    <row r="197" spans="3:11">
      <c r="C197" s="150"/>
      <c r="D197" s="193">
        <v>59307925</v>
      </c>
      <c r="E197" s="154">
        <v>91714882</v>
      </c>
      <c r="F197" s="154">
        <v>50376375</v>
      </c>
      <c r="G197" s="154">
        <v>48653224</v>
      </c>
      <c r="H197" s="154"/>
      <c r="J197" s="150"/>
      <c r="K197" s="150"/>
    </row>
    <row r="198" spans="3:11">
      <c r="C198" s="150"/>
      <c r="D198" s="193"/>
      <c r="E198" s="154"/>
      <c r="F198" s="154"/>
      <c r="G198" s="154"/>
      <c r="H198" s="154"/>
      <c r="J198" s="150"/>
      <c r="K198" s="150"/>
    </row>
    <row r="199" spans="3:11">
      <c r="C199" s="150"/>
      <c r="D199" s="193" t="e">
        <f ca="1">[3]!terbilang(D197)</f>
        <v>#NAME?</v>
      </c>
      <c r="E199" s="193" t="e">
        <f ca="1">[3]!terbilang(E197)</f>
        <v>#NAME?</v>
      </c>
      <c r="F199" s="193" t="e">
        <f ca="1">[3]!terbilang(F197)</f>
        <v>#NAME?</v>
      </c>
      <c r="G199" s="193" t="e">
        <f ca="1">[3]!terbilang(G197)</f>
        <v>#NAME?</v>
      </c>
      <c r="J199" s="150"/>
      <c r="K199" s="150"/>
    </row>
    <row r="200" spans="3:11">
      <c r="C200" s="150"/>
      <c r="D200" s="193"/>
      <c r="E200" s="154"/>
      <c r="F200" s="154"/>
      <c r="G200" s="154"/>
      <c r="J200" s="150"/>
      <c r="K200" s="150"/>
    </row>
    <row r="201" spans="3:11">
      <c r="C201" s="150"/>
      <c r="D201" s="193"/>
      <c r="E201" s="154"/>
      <c r="F201" s="154"/>
      <c r="G201" s="154"/>
      <c r="J201" s="150"/>
      <c r="K201" s="150"/>
    </row>
    <row r="202" spans="3:11">
      <c r="C202" s="150"/>
      <c r="D202" s="193"/>
      <c r="E202" s="154"/>
      <c r="F202" s="154"/>
      <c r="G202" s="154"/>
      <c r="J202" s="150"/>
      <c r="K202" s="150"/>
    </row>
    <row r="203" spans="3:11">
      <c r="C203" s="150"/>
      <c r="D203" s="193"/>
      <c r="E203" s="154"/>
      <c r="F203" s="154"/>
      <c r="G203" s="154"/>
      <c r="J203" s="150"/>
      <c r="K203" s="150"/>
    </row>
    <row r="204" spans="3:11">
      <c r="C204" s="150"/>
      <c r="D204" s="193"/>
      <c r="E204" s="154" t="s">
        <v>108</v>
      </c>
      <c r="F204" s="154"/>
      <c r="G204" s="154"/>
      <c r="J204" s="150"/>
      <c r="K204" s="150"/>
    </row>
    <row r="206" spans="3:11">
      <c r="C206" s="150"/>
      <c r="D206" s="182" t="s">
        <v>112</v>
      </c>
      <c r="J206" s="150"/>
      <c r="K206" s="150"/>
    </row>
    <row r="207" spans="3:11">
      <c r="C207" s="150"/>
      <c r="E207" s="150" t="s">
        <v>111</v>
      </c>
      <c r="J207" s="150"/>
      <c r="K207" s="150"/>
    </row>
  </sheetData>
  <mergeCells count="16">
    <mergeCell ref="L123:N123"/>
    <mergeCell ref="P123:R123"/>
    <mergeCell ref="S123:U123"/>
    <mergeCell ref="C4:AG4"/>
    <mergeCell ref="A93:B93"/>
    <mergeCell ref="AD100:AF100"/>
    <mergeCell ref="F102:G102"/>
    <mergeCell ref="H102:I102"/>
    <mergeCell ref="J102:K102"/>
    <mergeCell ref="L102:M102"/>
    <mergeCell ref="R102:T102"/>
    <mergeCell ref="F103:G103"/>
    <mergeCell ref="H103:I103"/>
    <mergeCell ref="J103:K103"/>
    <mergeCell ref="L103:M103"/>
    <mergeCell ref="R103:T103"/>
  </mergeCells>
  <pageMargins left="0.7" right="0.7" top="0.75" bottom="0.75" header="0.3" footer="0.3"/>
  <pageSetup paperSize="9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95"/>
  <sheetViews>
    <sheetView topLeftCell="Y7" zoomScale="70" zoomScaleNormal="70" workbookViewId="0">
      <selection activeCell="X111" sqref="X111"/>
    </sheetView>
  </sheetViews>
  <sheetFormatPr defaultRowHeight="15.75"/>
  <cols>
    <col min="1" max="1" width="37" style="150" customWidth="1"/>
    <col min="2" max="2" width="11.5703125" style="150" customWidth="1"/>
    <col min="3" max="3" width="19.85546875" style="182" customWidth="1"/>
    <col min="4" max="4" width="18.7109375" style="182" customWidth="1"/>
    <col min="5" max="5" width="21.28515625" style="150" customWidth="1"/>
    <col min="6" max="6" width="22.5703125" style="150" customWidth="1"/>
    <col min="7" max="7" width="18.42578125" style="150" customWidth="1"/>
    <col min="8" max="8" width="22.140625" style="150" customWidth="1"/>
    <col min="9" max="9" width="21.42578125" style="150" customWidth="1"/>
    <col min="10" max="10" width="22.140625" style="182" customWidth="1"/>
    <col min="11" max="11" width="21" style="182" customWidth="1"/>
    <col min="12" max="12" width="24.140625" style="150" customWidth="1"/>
    <col min="13" max="13" width="24.7109375" style="150" customWidth="1"/>
    <col min="14" max="14" width="19.42578125" style="150" customWidth="1"/>
    <col min="15" max="15" width="18.28515625" style="150" customWidth="1"/>
    <col min="16" max="16" width="24" style="150" customWidth="1"/>
    <col min="17" max="17" width="21.28515625" style="150" customWidth="1"/>
    <col min="18" max="18" width="25.28515625" style="150" customWidth="1"/>
    <col min="19" max="19" width="21.140625" style="150" customWidth="1"/>
    <col min="20" max="20" width="23" style="150" customWidth="1"/>
    <col min="21" max="21" width="19.5703125" style="150" customWidth="1"/>
    <col min="22" max="22" width="19.42578125" style="150" customWidth="1"/>
    <col min="23" max="23" width="23" style="150" customWidth="1"/>
    <col min="24" max="25" width="20.7109375" style="150" customWidth="1"/>
    <col min="26" max="26" width="22.42578125" style="150" customWidth="1"/>
    <col min="27" max="27" width="21.7109375" style="150" customWidth="1"/>
    <col min="28" max="28" width="20.28515625" style="150" customWidth="1"/>
    <col min="29" max="29" width="18.5703125" style="150" customWidth="1"/>
    <col min="30" max="30" width="18.85546875" style="150" customWidth="1"/>
    <col min="31" max="31" width="21.85546875" style="150" customWidth="1"/>
    <col min="32" max="32" width="19" style="150" customWidth="1"/>
    <col min="33" max="34" width="21.7109375" style="150" customWidth="1"/>
    <col min="35" max="35" width="20.28515625" style="150" customWidth="1"/>
    <col min="36" max="36" width="18.140625" style="150" customWidth="1"/>
    <col min="37" max="37" width="12.85546875" style="150" customWidth="1"/>
    <col min="38" max="38" width="19.140625" style="150" customWidth="1"/>
    <col min="39" max="16384" width="9.140625" style="150"/>
  </cols>
  <sheetData>
    <row r="1" spans="1:36">
      <c r="A1" s="147" t="s">
        <v>0</v>
      </c>
      <c r="B1" s="148"/>
      <c r="C1" s="149"/>
      <c r="D1" s="149"/>
      <c r="E1" s="148"/>
      <c r="F1" s="148"/>
      <c r="G1" s="148"/>
      <c r="H1" s="148"/>
      <c r="I1" s="148"/>
      <c r="J1" s="149"/>
      <c r="K1" s="149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</row>
    <row r="2" spans="1:36" s="154" customFormat="1">
      <c r="A2" s="151" t="s">
        <v>1</v>
      </c>
      <c r="B2" s="152"/>
      <c r="C2" s="153"/>
      <c r="D2" s="153"/>
      <c r="E2" s="152"/>
      <c r="F2" s="152"/>
      <c r="G2" s="152"/>
      <c r="H2" s="152"/>
      <c r="I2" s="152"/>
      <c r="J2" s="153"/>
      <c r="K2" s="153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</row>
    <row r="3" spans="1:36">
      <c r="A3" s="155" t="s">
        <v>2</v>
      </c>
      <c r="B3" s="156">
        <v>44743</v>
      </c>
      <c r="C3" s="153"/>
      <c r="D3" s="153"/>
      <c r="E3" s="152"/>
      <c r="F3" s="152"/>
      <c r="G3" s="152"/>
      <c r="H3" s="152"/>
      <c r="I3" s="152"/>
      <c r="J3" s="153"/>
      <c r="K3" s="153"/>
      <c r="L3" s="152"/>
      <c r="M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</row>
    <row r="4" spans="1:36">
      <c r="A4" s="157" t="s">
        <v>3</v>
      </c>
      <c r="B4" s="158" t="s">
        <v>4</v>
      </c>
      <c r="C4" s="390" t="s">
        <v>5</v>
      </c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2"/>
      <c r="AH4" s="332"/>
      <c r="AI4" s="159" t="s">
        <v>6</v>
      </c>
      <c r="AJ4" s="154"/>
    </row>
    <row r="5" spans="1:36">
      <c r="A5" s="157"/>
      <c r="B5" s="158"/>
      <c r="C5" s="160">
        <v>44743</v>
      </c>
      <c r="D5" s="160">
        <v>44714</v>
      </c>
      <c r="E5" s="160">
        <v>44715</v>
      </c>
      <c r="F5" s="160">
        <v>44716</v>
      </c>
      <c r="G5" s="160">
        <v>44717</v>
      </c>
      <c r="H5" s="160">
        <v>44718</v>
      </c>
      <c r="I5" s="160">
        <v>44719</v>
      </c>
      <c r="J5" s="160">
        <v>44720</v>
      </c>
      <c r="K5" s="160">
        <v>44721</v>
      </c>
      <c r="L5" s="160">
        <v>44722</v>
      </c>
      <c r="M5" s="160">
        <v>44723</v>
      </c>
      <c r="N5" s="160">
        <v>44724</v>
      </c>
      <c r="O5" s="160">
        <v>44725</v>
      </c>
      <c r="P5" s="160">
        <v>44726</v>
      </c>
      <c r="Q5" s="160">
        <v>44727</v>
      </c>
      <c r="R5" s="160">
        <v>44728</v>
      </c>
      <c r="S5" s="160">
        <v>44729</v>
      </c>
      <c r="T5" s="160">
        <v>44730</v>
      </c>
      <c r="U5" s="160">
        <v>44731</v>
      </c>
      <c r="V5" s="160">
        <v>44732</v>
      </c>
      <c r="W5" s="160">
        <v>44733</v>
      </c>
      <c r="X5" s="160">
        <v>44734</v>
      </c>
      <c r="Y5" s="160">
        <v>44735</v>
      </c>
      <c r="Z5" s="160">
        <v>44736</v>
      </c>
      <c r="AA5" s="160">
        <v>44737</v>
      </c>
      <c r="AB5" s="160">
        <v>44738</v>
      </c>
      <c r="AC5" s="160">
        <v>44739</v>
      </c>
      <c r="AD5" s="160">
        <v>44740</v>
      </c>
      <c r="AE5" s="160">
        <v>44741</v>
      </c>
      <c r="AF5" s="160">
        <v>44742</v>
      </c>
      <c r="AG5" s="160"/>
      <c r="AH5" s="160"/>
      <c r="AI5" s="159"/>
      <c r="AJ5" s="154"/>
    </row>
    <row r="6" spans="1:36">
      <c r="A6" s="161" t="s">
        <v>7</v>
      </c>
      <c r="B6" s="162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8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3"/>
      <c r="AJ6" s="173"/>
    </row>
    <row r="7" spans="1:36">
      <c r="A7" s="258" t="s">
        <v>93</v>
      </c>
      <c r="B7" s="162"/>
      <c r="C7" s="273"/>
      <c r="D7" s="273"/>
      <c r="E7" s="273"/>
      <c r="F7" s="273"/>
      <c r="G7" s="273">
        <v>2290083505</v>
      </c>
      <c r="H7" s="273"/>
      <c r="I7" s="273"/>
      <c r="J7" s="273"/>
      <c r="K7" s="273"/>
      <c r="L7" s="273"/>
      <c r="M7" s="273">
        <v>3166034901</v>
      </c>
      <c r="N7" s="273"/>
      <c r="O7" s="273"/>
      <c r="P7" s="168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163"/>
      <c r="AJ7" s="173"/>
    </row>
    <row r="8" spans="1:36">
      <c r="A8" s="166" t="s">
        <v>480</v>
      </c>
      <c r="B8" s="191"/>
      <c r="C8" s="273">
        <v>170592420</v>
      </c>
      <c r="D8" s="273"/>
      <c r="E8" s="171"/>
      <c r="F8" s="273"/>
      <c r="G8" s="273"/>
      <c r="H8" s="171"/>
      <c r="I8" s="171"/>
      <c r="J8" s="273"/>
      <c r="K8" s="171"/>
      <c r="L8" s="171"/>
      <c r="M8" s="171"/>
      <c r="N8" s="171"/>
      <c r="O8" s="171"/>
      <c r="P8" s="171"/>
      <c r="Q8" s="171"/>
      <c r="R8" s="171"/>
      <c r="S8" s="171"/>
      <c r="T8" s="273">
        <f>130970098-354519</f>
        <v>130615579</v>
      </c>
      <c r="U8" s="171"/>
      <c r="V8" s="171"/>
      <c r="W8" s="273"/>
      <c r="X8" s="273"/>
      <c r="Y8" s="273"/>
      <c r="Z8" s="273"/>
      <c r="AA8" s="273"/>
      <c r="AB8" s="171"/>
      <c r="AC8" s="273"/>
      <c r="AD8" s="273"/>
      <c r="AE8" s="273"/>
      <c r="AF8" s="273"/>
      <c r="AG8" s="273"/>
      <c r="AH8" s="273"/>
      <c r="AI8" s="165"/>
      <c r="AJ8" s="173"/>
    </row>
    <row r="9" spans="1:36">
      <c r="A9" s="166" t="s">
        <v>701</v>
      </c>
      <c r="B9" s="191"/>
      <c r="C9" s="273"/>
      <c r="D9" s="273"/>
      <c r="E9" s="171"/>
      <c r="F9" s="273">
        <f>13626535-7317619</f>
        <v>6308916</v>
      </c>
      <c r="G9" s="273"/>
      <c r="H9" s="171"/>
      <c r="I9" s="171"/>
      <c r="J9" s="273"/>
      <c r="K9" s="171"/>
      <c r="L9" s="171"/>
      <c r="M9" s="171"/>
      <c r="N9" s="171">
        <v>47160300</v>
      </c>
      <c r="O9" s="171"/>
      <c r="P9" s="171"/>
      <c r="Q9" s="171"/>
      <c r="R9" s="171"/>
      <c r="S9" s="171"/>
      <c r="T9" s="273"/>
      <c r="U9" s="171"/>
      <c r="V9" s="171"/>
      <c r="W9" s="273"/>
      <c r="X9" s="273"/>
      <c r="Y9" s="273"/>
      <c r="Z9" s="273"/>
      <c r="AA9" s="273"/>
      <c r="AB9" s="171"/>
      <c r="AC9" s="273"/>
      <c r="AD9" s="273"/>
      <c r="AE9" s="273"/>
      <c r="AF9" s="273"/>
      <c r="AG9" s="273"/>
      <c r="AH9" s="273"/>
      <c r="AI9" s="165"/>
      <c r="AJ9" s="173"/>
    </row>
    <row r="10" spans="1:36">
      <c r="A10" s="166" t="s">
        <v>668</v>
      </c>
      <c r="B10" s="191"/>
      <c r="C10" s="175"/>
      <c r="D10" s="171"/>
      <c r="E10" s="171"/>
      <c r="F10" s="273"/>
      <c r="G10" s="171"/>
      <c r="H10" s="171"/>
      <c r="I10" s="175"/>
      <c r="J10" s="175"/>
      <c r="K10" s="171"/>
      <c r="L10" s="171"/>
      <c r="M10" s="175"/>
      <c r="N10" s="171"/>
      <c r="O10" s="175"/>
      <c r="P10" s="175"/>
      <c r="Q10" s="175"/>
      <c r="R10" s="175"/>
      <c r="S10" s="175"/>
      <c r="T10" s="171"/>
      <c r="U10" s="175"/>
      <c r="V10" s="175"/>
      <c r="W10" s="175"/>
      <c r="X10" s="175"/>
      <c r="Y10" s="175"/>
      <c r="Z10" s="175"/>
      <c r="AA10" s="171"/>
      <c r="AB10" s="171"/>
      <c r="AC10" s="175"/>
      <c r="AD10" s="175"/>
      <c r="AE10" s="175"/>
      <c r="AF10" s="175">
        <v>277790152</v>
      </c>
      <c r="AG10" s="175"/>
      <c r="AH10" s="273"/>
      <c r="AI10" s="165"/>
      <c r="AJ10" s="173"/>
    </row>
    <row r="11" spans="1:36">
      <c r="A11" s="166" t="s">
        <v>579</v>
      </c>
      <c r="B11" s="191"/>
      <c r="C11" s="171"/>
      <c r="D11" s="171"/>
      <c r="E11" s="175"/>
      <c r="F11" s="171">
        <v>703173215</v>
      </c>
      <c r="G11" s="175"/>
      <c r="H11" s="175"/>
      <c r="I11" s="171"/>
      <c r="J11" s="171"/>
      <c r="K11" s="175"/>
      <c r="L11" s="175"/>
      <c r="M11" s="175"/>
      <c r="N11" s="175"/>
      <c r="O11" s="171"/>
      <c r="P11" s="171"/>
      <c r="Q11" s="175"/>
      <c r="R11" s="171"/>
      <c r="S11" s="171"/>
      <c r="T11" s="171"/>
      <c r="U11" s="171"/>
      <c r="V11" s="171"/>
      <c r="W11" s="171"/>
      <c r="X11" s="171"/>
      <c r="Y11" s="171"/>
      <c r="Z11" s="175"/>
      <c r="AA11" s="171"/>
      <c r="AB11" s="175"/>
      <c r="AC11" s="171"/>
      <c r="AD11" s="171"/>
      <c r="AE11" s="171"/>
      <c r="AF11" s="171"/>
      <c r="AG11" s="171"/>
      <c r="AH11" s="171"/>
      <c r="AI11" s="165"/>
      <c r="AJ11" s="234"/>
    </row>
    <row r="12" spans="1:36">
      <c r="A12" s="166" t="s">
        <v>479</v>
      </c>
      <c r="B12" s="191"/>
      <c r="C12" s="171">
        <v>457507917</v>
      </c>
      <c r="D12" s="175"/>
      <c r="E12" s="175"/>
      <c r="F12" s="171"/>
      <c r="G12" s="175"/>
      <c r="H12" s="175"/>
      <c r="I12" s="175"/>
      <c r="J12" s="175"/>
      <c r="K12" s="175"/>
      <c r="L12" s="175"/>
      <c r="M12" s="172">
        <v>313307948</v>
      </c>
      <c r="N12" s="175"/>
      <c r="O12" s="171"/>
      <c r="P12" s="175"/>
      <c r="Q12" s="172"/>
      <c r="R12" s="171"/>
      <c r="S12" s="172"/>
      <c r="T12" s="171"/>
      <c r="U12" s="171"/>
      <c r="V12" s="171"/>
      <c r="W12" s="171"/>
      <c r="X12" s="171"/>
      <c r="Y12" s="171"/>
      <c r="Z12" s="171"/>
      <c r="AA12" s="175"/>
      <c r="AB12" s="175"/>
      <c r="AC12" s="171"/>
      <c r="AD12" s="171"/>
      <c r="AE12" s="171"/>
      <c r="AF12" s="171"/>
      <c r="AG12" s="171"/>
      <c r="AH12" s="169"/>
      <c r="AI12" s="165"/>
      <c r="AJ12" s="234"/>
    </row>
    <row r="13" spans="1:36">
      <c r="A13" s="166" t="s">
        <v>17</v>
      </c>
      <c r="B13" s="19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2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65"/>
      <c r="AJ13" s="234"/>
    </row>
    <row r="14" spans="1:36">
      <c r="A14" s="166" t="s">
        <v>18</v>
      </c>
      <c r="B14" s="191"/>
      <c r="C14" s="273"/>
      <c r="D14" s="273"/>
      <c r="E14" s="273"/>
      <c r="F14" s="273"/>
      <c r="G14" s="273"/>
      <c r="H14" s="171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165"/>
      <c r="AJ14" s="233"/>
    </row>
    <row r="15" spans="1:36">
      <c r="A15" s="166" t="s">
        <v>19</v>
      </c>
      <c r="B15" s="191"/>
      <c r="C15" s="273"/>
      <c r="D15" s="273"/>
      <c r="E15" s="273"/>
      <c r="F15" s="273"/>
      <c r="G15" s="273"/>
      <c r="H15" s="171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165"/>
      <c r="AJ15" s="233"/>
    </row>
    <row r="16" spans="1:36">
      <c r="A16" s="166" t="s">
        <v>530</v>
      </c>
      <c r="B16" s="191"/>
      <c r="C16" s="273">
        <v>4569335</v>
      </c>
      <c r="D16" s="273"/>
      <c r="E16" s="273"/>
      <c r="F16" s="273"/>
      <c r="G16" s="273"/>
      <c r="H16" s="171"/>
      <c r="I16" s="273"/>
      <c r="J16" s="273"/>
      <c r="K16" s="273"/>
      <c r="L16" s="273"/>
      <c r="M16" s="273">
        <f>23024044-11881758</f>
        <v>11142286</v>
      </c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>
        <f>27656631-8378912</f>
        <v>19277719</v>
      </c>
      <c r="AD16" s="273"/>
      <c r="AE16" s="273"/>
      <c r="AF16" s="273"/>
      <c r="AG16" s="273"/>
      <c r="AH16" s="275"/>
      <c r="AI16" s="165"/>
      <c r="AJ16" s="233"/>
    </row>
    <row r="17" spans="1:38">
      <c r="A17" s="166" t="s">
        <v>43</v>
      </c>
      <c r="B17" s="191"/>
      <c r="C17" s="273"/>
      <c r="D17" s="273"/>
      <c r="E17" s="273"/>
      <c r="F17" s="171"/>
      <c r="G17" s="273"/>
      <c r="H17" s="171"/>
      <c r="I17" s="171"/>
      <c r="J17" s="273"/>
      <c r="K17" s="273"/>
      <c r="L17" s="273"/>
      <c r="M17" s="171"/>
      <c r="N17" s="273"/>
      <c r="O17" s="273"/>
      <c r="P17" s="171"/>
      <c r="Q17" s="273"/>
      <c r="R17" s="273"/>
      <c r="S17" s="170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165"/>
      <c r="AJ17" s="233"/>
    </row>
    <row r="18" spans="1:38">
      <c r="A18" s="166" t="s">
        <v>318</v>
      </c>
      <c r="B18" s="191"/>
      <c r="C18" s="171">
        <v>83692752</v>
      </c>
      <c r="D18" s="170"/>
      <c r="E18" s="170"/>
      <c r="F18" s="171">
        <f>526518262-436480747</f>
        <v>90037515</v>
      </c>
      <c r="G18" s="170"/>
      <c r="H18" s="171"/>
      <c r="I18" s="171"/>
      <c r="J18" s="170"/>
      <c r="K18" s="171"/>
      <c r="L18" s="171"/>
      <c r="M18" s="171">
        <f>114540815-107939837</f>
        <v>6600978</v>
      </c>
      <c r="N18" s="171"/>
      <c r="O18" s="273"/>
      <c r="P18" s="171"/>
      <c r="Q18" s="170"/>
      <c r="R18" s="273"/>
      <c r="S18" s="273"/>
      <c r="T18" s="171"/>
      <c r="U18" s="273"/>
      <c r="V18" s="273">
        <v>9575743</v>
      </c>
      <c r="W18" s="273"/>
      <c r="X18" s="273"/>
      <c r="Y18" s="273"/>
      <c r="Z18" s="171"/>
      <c r="AA18" s="170"/>
      <c r="AB18" s="170"/>
      <c r="AC18" s="273"/>
      <c r="AD18" s="273"/>
      <c r="AE18" s="273"/>
      <c r="AF18" s="273"/>
      <c r="AG18" s="170"/>
      <c r="AH18" s="170"/>
      <c r="AI18" s="165"/>
      <c r="AJ18" s="233"/>
    </row>
    <row r="19" spans="1:38">
      <c r="A19" s="166" t="s">
        <v>447</v>
      </c>
      <c r="B19" s="191"/>
      <c r="C19" s="171"/>
      <c r="D19" s="170"/>
      <c r="E19" s="170"/>
      <c r="F19" s="171"/>
      <c r="G19" s="170"/>
      <c r="H19" s="171"/>
      <c r="I19" s="171"/>
      <c r="J19" s="170"/>
      <c r="K19" s="170"/>
      <c r="L19" s="170"/>
      <c r="M19" s="171"/>
      <c r="N19" s="170"/>
      <c r="O19" s="273"/>
      <c r="P19" s="171"/>
      <c r="Q19" s="170"/>
      <c r="R19" s="273"/>
      <c r="S19" s="273"/>
      <c r="T19" s="170"/>
      <c r="U19" s="273"/>
      <c r="V19" s="273"/>
      <c r="W19" s="273"/>
      <c r="X19" s="273"/>
      <c r="Y19" s="273"/>
      <c r="Z19" s="171"/>
      <c r="AA19" s="170"/>
      <c r="AB19" s="170"/>
      <c r="AC19" s="273"/>
      <c r="AD19" s="273"/>
      <c r="AE19" s="273"/>
      <c r="AF19" s="273"/>
      <c r="AG19" s="170"/>
      <c r="AH19" s="170"/>
      <c r="AI19" s="165"/>
      <c r="AJ19" s="233"/>
    </row>
    <row r="20" spans="1:38">
      <c r="A20" s="166" t="s">
        <v>348</v>
      </c>
      <c r="B20" s="191"/>
      <c r="C20" s="171"/>
      <c r="D20" s="273"/>
      <c r="E20" s="273"/>
      <c r="F20" s="171"/>
      <c r="G20" s="273"/>
      <c r="H20" s="171"/>
      <c r="I20" s="171"/>
      <c r="J20" s="273"/>
      <c r="K20" s="273"/>
      <c r="L20" s="273"/>
      <c r="M20" s="171"/>
      <c r="N20" s="273"/>
      <c r="O20" s="171"/>
      <c r="P20" s="171"/>
      <c r="Q20" s="273"/>
      <c r="R20" s="171"/>
      <c r="S20" s="273"/>
      <c r="T20" s="273"/>
      <c r="U20" s="171"/>
      <c r="V20" s="171"/>
      <c r="W20" s="171"/>
      <c r="X20" s="171"/>
      <c r="Y20" s="171"/>
      <c r="Z20" s="273"/>
      <c r="AA20" s="273"/>
      <c r="AB20" s="273"/>
      <c r="AC20" s="171"/>
      <c r="AD20" s="171"/>
      <c r="AE20" s="171"/>
      <c r="AF20" s="171"/>
      <c r="AG20" s="273"/>
      <c r="AH20" s="273"/>
      <c r="AI20" s="165"/>
      <c r="AJ20" s="235"/>
    </row>
    <row r="21" spans="1:38">
      <c r="A21" s="166" t="s">
        <v>354</v>
      </c>
      <c r="B21" s="191"/>
      <c r="C21" s="171"/>
      <c r="D21" s="273"/>
      <c r="E21" s="273"/>
      <c r="F21" s="171"/>
      <c r="G21" s="273"/>
      <c r="H21" s="171"/>
      <c r="I21" s="273"/>
      <c r="J21" s="273"/>
      <c r="K21" s="273"/>
      <c r="L21" s="273"/>
      <c r="M21" s="171"/>
      <c r="N21" s="273"/>
      <c r="O21" s="171"/>
      <c r="P21" s="273"/>
      <c r="Q21" s="273">
        <v>57665614</v>
      </c>
      <c r="R21" s="171"/>
      <c r="S21" s="273"/>
      <c r="T21" s="273"/>
      <c r="U21" s="171"/>
      <c r="V21" s="171"/>
      <c r="W21" s="171"/>
      <c r="X21" s="171"/>
      <c r="Y21" s="171"/>
      <c r="Z21" s="273"/>
      <c r="AA21" s="273"/>
      <c r="AB21" s="273"/>
      <c r="AC21" s="171"/>
      <c r="AD21" s="171">
        <f>49286058-46720130</f>
        <v>2565928</v>
      </c>
      <c r="AE21" s="171">
        <f>139345956+77575524</f>
        <v>216921480</v>
      </c>
      <c r="AF21" s="171"/>
      <c r="AG21" s="273"/>
      <c r="AH21" s="273"/>
      <c r="AI21" s="165"/>
      <c r="AJ21" s="235"/>
    </row>
    <row r="22" spans="1:38">
      <c r="A22" s="166" t="s">
        <v>350</v>
      </c>
      <c r="B22" s="191"/>
      <c r="C22" s="171"/>
      <c r="D22" s="273"/>
      <c r="E22" s="273"/>
      <c r="F22" s="273"/>
      <c r="G22" s="273"/>
      <c r="H22" s="171"/>
      <c r="I22" s="273"/>
      <c r="J22" s="273"/>
      <c r="K22" s="273"/>
      <c r="L22" s="273"/>
      <c r="M22" s="171"/>
      <c r="N22" s="273"/>
      <c r="O22" s="171"/>
      <c r="P22" s="273"/>
      <c r="Q22" s="273"/>
      <c r="R22" s="171"/>
      <c r="S22" s="170"/>
      <c r="T22" s="273"/>
      <c r="U22" s="171"/>
      <c r="V22" s="171"/>
      <c r="W22" s="171"/>
      <c r="X22" s="171"/>
      <c r="Y22" s="171"/>
      <c r="Z22" s="273"/>
      <c r="AA22" s="273"/>
      <c r="AB22" s="273"/>
      <c r="AC22" s="171"/>
      <c r="AD22" s="171"/>
      <c r="AE22" s="171"/>
      <c r="AF22" s="171"/>
      <c r="AG22" s="273"/>
      <c r="AH22" s="273"/>
      <c r="AI22" s="165"/>
      <c r="AJ22" s="235"/>
    </row>
    <row r="23" spans="1:38">
      <c r="A23" s="166" t="s">
        <v>700</v>
      </c>
      <c r="B23" s="191"/>
      <c r="C23" s="329"/>
      <c r="D23" s="329"/>
      <c r="E23" s="273"/>
      <c r="F23" s="273">
        <v>174204293</v>
      </c>
      <c r="G23" s="273"/>
      <c r="H23" s="273"/>
      <c r="I23" s="273"/>
      <c r="J23" s="329"/>
      <c r="K23" s="273"/>
      <c r="L23" s="273"/>
      <c r="M23" s="171"/>
      <c r="N23" s="273"/>
      <c r="O23" s="172"/>
      <c r="P23" s="329"/>
      <c r="Q23" s="329"/>
      <c r="R23" s="172"/>
      <c r="S23" s="329"/>
      <c r="T23" s="329"/>
      <c r="U23" s="172"/>
      <c r="V23" s="172"/>
      <c r="W23" s="172"/>
      <c r="X23" s="172"/>
      <c r="Y23" s="172"/>
      <c r="Z23" s="329"/>
      <c r="AA23" s="329"/>
      <c r="AB23" s="273"/>
      <c r="AC23" s="172"/>
      <c r="AD23" s="172">
        <v>176803293</v>
      </c>
      <c r="AE23" s="172"/>
      <c r="AF23" s="172"/>
      <c r="AG23" s="329"/>
      <c r="AH23" s="273"/>
      <c r="AI23" s="165"/>
      <c r="AJ23" s="235"/>
    </row>
    <row r="24" spans="1:38">
      <c r="A24" s="166" t="s">
        <v>702</v>
      </c>
      <c r="B24" s="191"/>
      <c r="C24" s="329"/>
      <c r="D24" s="329"/>
      <c r="E24" s="273"/>
      <c r="F24" s="273"/>
      <c r="G24" s="273"/>
      <c r="H24" s="273"/>
      <c r="I24" s="273"/>
      <c r="J24" s="329"/>
      <c r="K24" s="273"/>
      <c r="L24" s="273"/>
      <c r="M24" s="329"/>
      <c r="N24" s="273"/>
      <c r="O24" s="329"/>
      <c r="P24" s="329"/>
      <c r="Q24" s="329"/>
      <c r="R24" s="329"/>
      <c r="S24" s="329"/>
      <c r="T24" s="329"/>
      <c r="U24" s="334"/>
      <c r="V24" s="329"/>
      <c r="W24" s="329"/>
      <c r="X24" s="329"/>
      <c r="Y24" s="329"/>
      <c r="Z24" s="329"/>
      <c r="AA24" s="334"/>
      <c r="AB24" s="273"/>
      <c r="AC24" s="329"/>
      <c r="AD24" s="334"/>
      <c r="AE24" s="329"/>
      <c r="AF24" s="329">
        <v>288712094</v>
      </c>
      <c r="AG24" s="329"/>
      <c r="AH24" s="273"/>
      <c r="AI24" s="165"/>
      <c r="AJ24" s="235"/>
    </row>
    <row r="25" spans="1:38">
      <c r="A25" s="166" t="s">
        <v>648</v>
      </c>
      <c r="B25" s="191"/>
      <c r="C25" s="329"/>
      <c r="D25" s="329"/>
      <c r="E25" s="273"/>
      <c r="F25" s="273">
        <v>256697016</v>
      </c>
      <c r="G25" s="273"/>
      <c r="H25" s="273"/>
      <c r="I25" s="273"/>
      <c r="J25" s="329"/>
      <c r="K25" s="273"/>
      <c r="L25" s="273"/>
      <c r="M25" s="329"/>
      <c r="N25" s="273"/>
      <c r="O25" s="329"/>
      <c r="P25" s="329"/>
      <c r="Q25" s="334">
        <v>287250672</v>
      </c>
      <c r="R25" s="329"/>
      <c r="S25" s="172"/>
      <c r="T25" s="329"/>
      <c r="U25" s="334">
        <v>209296310</v>
      </c>
      <c r="V25" s="329"/>
      <c r="W25" s="329"/>
      <c r="X25" s="329"/>
      <c r="Y25" s="329"/>
      <c r="Z25" s="329"/>
      <c r="AA25" s="334">
        <f>381031779-12445843</f>
        <v>368585936</v>
      </c>
      <c r="AB25" s="273"/>
      <c r="AC25" s="329"/>
      <c r="AD25" s="334">
        <v>52413320</v>
      </c>
      <c r="AE25" s="329"/>
      <c r="AF25" s="329"/>
      <c r="AG25" s="329"/>
      <c r="AH25" s="273"/>
      <c r="AI25" s="165"/>
      <c r="AJ25" s="235"/>
    </row>
    <row r="26" spans="1:38">
      <c r="A26" s="166" t="s">
        <v>703</v>
      </c>
      <c r="B26" s="191"/>
      <c r="C26" s="329"/>
      <c r="D26" s="329"/>
      <c r="E26" s="273"/>
      <c r="F26" s="273"/>
      <c r="G26" s="273"/>
      <c r="H26" s="273"/>
      <c r="I26" s="273"/>
      <c r="J26" s="329"/>
      <c r="K26" s="273"/>
      <c r="L26" s="273"/>
      <c r="M26" s="329"/>
      <c r="N26" s="273"/>
      <c r="O26" s="329"/>
      <c r="P26" s="329"/>
      <c r="Q26" s="329"/>
      <c r="R26" s="329"/>
      <c r="S26" s="172"/>
      <c r="T26" s="329"/>
      <c r="U26" s="334"/>
      <c r="V26" s="329"/>
      <c r="W26" s="329"/>
      <c r="X26" s="329"/>
      <c r="Y26" s="329"/>
      <c r="Z26" s="329"/>
      <c r="AA26" s="334"/>
      <c r="AB26" s="273"/>
      <c r="AC26" s="329"/>
      <c r="AD26" s="334"/>
      <c r="AE26" s="329"/>
      <c r="AF26" s="329">
        <v>754038804</v>
      </c>
      <c r="AG26" s="329"/>
      <c r="AH26" s="273"/>
      <c r="AI26" s="165"/>
      <c r="AJ26" s="235"/>
    </row>
    <row r="27" spans="1:38">
      <c r="A27" s="166" t="s">
        <v>649</v>
      </c>
      <c r="B27" s="19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  <c r="AB27" s="171"/>
      <c r="AC27" s="171"/>
      <c r="AD27" s="172"/>
      <c r="AE27" s="171"/>
      <c r="AF27" s="171"/>
      <c r="AG27" s="171"/>
      <c r="AH27" s="274"/>
      <c r="AI27" s="165"/>
      <c r="AJ27" s="234"/>
    </row>
    <row r="28" spans="1:38">
      <c r="A28" s="166" t="s">
        <v>576</v>
      </c>
      <c r="B28" s="191"/>
      <c r="C28" s="175"/>
      <c r="D28" s="175"/>
      <c r="E28" s="175"/>
      <c r="F28" s="171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>
        <v>103374298</v>
      </c>
      <c r="AG28" s="175"/>
      <c r="AH28" s="274"/>
      <c r="AI28" s="165"/>
      <c r="AJ28" s="234"/>
      <c r="AK28" s="184"/>
      <c r="AL28" s="186">
        <f>6325269+60889034</f>
        <v>67214303</v>
      </c>
    </row>
    <row r="29" spans="1:38">
      <c r="A29" s="187" t="s">
        <v>327</v>
      </c>
      <c r="B29" s="191"/>
      <c r="C29" s="175"/>
      <c r="D29" s="175"/>
      <c r="E29" s="175"/>
      <c r="F29" s="171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>
        <v>61709422</v>
      </c>
      <c r="AG29" s="175"/>
      <c r="AH29" s="274"/>
      <c r="AI29" s="165"/>
      <c r="AJ29" s="234"/>
      <c r="AK29" s="184"/>
      <c r="AL29" s="186"/>
    </row>
    <row r="30" spans="1:38">
      <c r="A30" s="187" t="s">
        <v>328</v>
      </c>
      <c r="B30" s="191"/>
      <c r="C30" s="175"/>
      <c r="D30" s="175"/>
      <c r="E30" s="175"/>
      <c r="F30" s="171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>
        <v>316175655</v>
      </c>
      <c r="AG30" s="175"/>
      <c r="AH30" s="274"/>
      <c r="AI30" s="165"/>
      <c r="AJ30" s="234"/>
      <c r="AK30" s="184"/>
      <c r="AL30" s="185"/>
    </row>
    <row r="31" spans="1:38">
      <c r="A31" s="187" t="s">
        <v>330</v>
      </c>
      <c r="B31" s="191"/>
      <c r="C31" s="175"/>
      <c r="D31" s="175"/>
      <c r="E31" s="175"/>
      <c r="F31" s="171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>
        <v>416002400</v>
      </c>
      <c r="AG31" s="175"/>
      <c r="AH31" s="274"/>
      <c r="AI31" s="165"/>
      <c r="AJ31" s="234">
        <f>SUM(AI28:AI31)</f>
        <v>0</v>
      </c>
      <c r="AK31" s="184"/>
      <c r="AL31" s="185"/>
    </row>
    <row r="32" spans="1:38">
      <c r="A32" s="166" t="s">
        <v>24</v>
      </c>
      <c r="B32" s="191"/>
      <c r="C32" s="171"/>
      <c r="D32" s="171"/>
      <c r="E32" s="171"/>
      <c r="F32" s="171"/>
      <c r="G32" s="172">
        <v>259064725</v>
      </c>
      <c r="H32" s="171"/>
      <c r="I32" s="171"/>
      <c r="J32" s="171"/>
      <c r="K32" s="171"/>
      <c r="L32" s="171"/>
      <c r="M32" s="171"/>
      <c r="N32" s="171"/>
      <c r="O32" s="171"/>
      <c r="P32" s="172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65"/>
      <c r="AJ32" s="235"/>
      <c r="AK32" s="189"/>
    </row>
    <row r="33" spans="1:37">
      <c r="A33" s="166" t="s">
        <v>618</v>
      </c>
      <c r="B33" s="191"/>
      <c r="C33" s="171"/>
      <c r="D33" s="175"/>
      <c r="E33" s="175"/>
      <c r="F33" s="171"/>
      <c r="G33" s="172"/>
      <c r="H33" s="175"/>
      <c r="I33" s="175"/>
      <c r="J33" s="172">
        <v>20207023</v>
      </c>
      <c r="K33" s="175"/>
      <c r="L33" s="175"/>
      <c r="M33" s="172">
        <v>176335541</v>
      </c>
      <c r="N33" s="175"/>
      <c r="O33" s="175"/>
      <c r="P33" s="172"/>
      <c r="Q33" s="175"/>
      <c r="R33" s="175"/>
      <c r="S33" s="175"/>
      <c r="T33" s="172">
        <v>526955</v>
      </c>
      <c r="U33" s="175"/>
      <c r="V33" s="175"/>
      <c r="W33" s="175"/>
      <c r="X33" s="172">
        <v>500429</v>
      </c>
      <c r="Y33" s="175"/>
      <c r="Z33" s="172"/>
      <c r="AA33" s="175"/>
      <c r="AB33" s="175"/>
      <c r="AC33" s="175"/>
      <c r="AD33" s="175"/>
      <c r="AE33" s="175"/>
      <c r="AF33" s="175"/>
      <c r="AG33" s="171"/>
      <c r="AH33" s="171"/>
      <c r="AI33" s="165"/>
      <c r="AJ33" s="234"/>
      <c r="AK33" s="189"/>
    </row>
    <row r="34" spans="1:37">
      <c r="A34" s="166" t="s">
        <v>493</v>
      </c>
      <c r="B34" s="191"/>
      <c r="C34" s="171"/>
      <c r="D34" s="171"/>
      <c r="E34" s="171"/>
      <c r="F34" s="171"/>
      <c r="G34" s="172"/>
      <c r="H34" s="171"/>
      <c r="I34" s="171"/>
      <c r="J34" s="171"/>
      <c r="K34" s="171"/>
      <c r="L34" s="171"/>
      <c r="M34" s="171">
        <v>208412592</v>
      </c>
      <c r="N34" s="171"/>
      <c r="O34" s="171"/>
      <c r="P34" s="172"/>
      <c r="Q34" s="171">
        <v>233638077</v>
      </c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65"/>
      <c r="AJ34" s="234"/>
      <c r="AK34" s="189"/>
    </row>
    <row r="35" spans="1:37">
      <c r="A35" s="166" t="s">
        <v>333</v>
      </c>
      <c r="B35" s="191"/>
      <c r="C35" s="328"/>
      <c r="D35" s="328"/>
      <c r="E35" s="167"/>
      <c r="F35" s="273"/>
      <c r="G35" s="168"/>
      <c r="H35" s="167"/>
      <c r="I35" s="167"/>
      <c r="J35" s="328"/>
      <c r="K35" s="328"/>
      <c r="L35" s="167"/>
      <c r="M35" s="167"/>
      <c r="N35" s="328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328"/>
      <c r="Z35" s="328"/>
      <c r="AA35" s="328"/>
      <c r="AB35" s="167"/>
      <c r="AC35" s="328"/>
      <c r="AD35" s="328"/>
      <c r="AE35" s="328"/>
      <c r="AF35" s="328">
        <v>61003007</v>
      </c>
      <c r="AG35" s="328"/>
      <c r="AH35" s="275"/>
      <c r="AI35" s="165"/>
      <c r="AJ35" s="233"/>
    </row>
    <row r="36" spans="1:37">
      <c r="A36" s="166" t="s">
        <v>539</v>
      </c>
      <c r="B36" s="191"/>
      <c r="C36" s="328"/>
      <c r="D36" s="328"/>
      <c r="E36" s="167"/>
      <c r="F36" s="273"/>
      <c r="G36" s="167"/>
      <c r="H36" s="167"/>
      <c r="I36" s="167"/>
      <c r="J36" s="328"/>
      <c r="K36" s="328"/>
      <c r="L36" s="167"/>
      <c r="M36" s="167"/>
      <c r="N36" s="328"/>
      <c r="O36" s="328"/>
      <c r="P36" s="328"/>
      <c r="Q36" s="328"/>
      <c r="R36" s="328"/>
      <c r="S36" s="328"/>
      <c r="T36" s="328"/>
      <c r="U36" s="328"/>
      <c r="V36" s="328"/>
      <c r="W36" s="328"/>
      <c r="X36" s="328"/>
      <c r="Y36" s="328"/>
      <c r="Z36" s="328"/>
      <c r="AA36" s="328"/>
      <c r="AB36" s="167"/>
      <c r="AC36" s="328"/>
      <c r="AD36" s="328"/>
      <c r="AE36" s="328"/>
      <c r="AF36" s="328">
        <f>127319117+12869993+149745116</f>
        <v>289934226</v>
      </c>
      <c r="AG36" s="328"/>
      <c r="AH36" s="275"/>
      <c r="AI36" s="165"/>
      <c r="AJ36" s="233"/>
    </row>
    <row r="37" spans="1:37">
      <c r="A37" s="166" t="s">
        <v>336</v>
      </c>
      <c r="B37" s="191"/>
      <c r="C37" s="328"/>
      <c r="D37" s="328"/>
      <c r="E37" s="167"/>
      <c r="F37" s="273"/>
      <c r="G37" s="167"/>
      <c r="H37" s="167"/>
      <c r="I37" s="167"/>
      <c r="J37" s="328"/>
      <c r="K37" s="328"/>
      <c r="L37" s="167"/>
      <c r="M37" s="167"/>
      <c r="N37" s="328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328"/>
      <c r="Z37" s="328"/>
      <c r="AA37" s="328"/>
      <c r="AB37" s="167"/>
      <c r="AC37" s="328"/>
      <c r="AD37" s="328"/>
      <c r="AE37" s="328"/>
      <c r="AF37" s="328">
        <v>30744983</v>
      </c>
      <c r="AG37" s="328"/>
      <c r="AH37" s="275"/>
      <c r="AI37" s="165"/>
      <c r="AJ37" s="233">
        <f>SUM(AI35:AI37)</f>
        <v>0</v>
      </c>
    </row>
    <row r="38" spans="1:37">
      <c r="A38" s="166" t="s">
        <v>337</v>
      </c>
      <c r="B38" s="191"/>
      <c r="C38" s="273"/>
      <c r="D38" s="168"/>
      <c r="E38" s="273"/>
      <c r="F38" s="273">
        <v>141081943</v>
      </c>
      <c r="G38" s="273"/>
      <c r="H38" s="273"/>
      <c r="I38" s="273"/>
      <c r="J38" s="168"/>
      <c r="K38" s="168"/>
      <c r="L38" s="273"/>
      <c r="M38" s="273">
        <f>71777160-15992913</f>
        <v>55784247</v>
      </c>
      <c r="N38" s="168">
        <v>77298480</v>
      </c>
      <c r="O38" s="168"/>
      <c r="P38" s="273"/>
      <c r="Q38" s="273">
        <v>38649240</v>
      </c>
      <c r="R38" s="168"/>
      <c r="S38" s="273"/>
      <c r="T38" s="273"/>
      <c r="U38" s="168">
        <v>115947720</v>
      </c>
      <c r="V38" s="168">
        <v>77298480</v>
      </c>
      <c r="W38" s="168"/>
      <c r="X38" s="168"/>
      <c r="Y38" s="168"/>
      <c r="Z38" s="273"/>
      <c r="AA38" s="273">
        <v>143554320</v>
      </c>
      <c r="AB38" s="273">
        <v>38649240</v>
      </c>
      <c r="AC38" s="168">
        <v>35888580</v>
      </c>
      <c r="AD38" s="168"/>
      <c r="AE38" s="168"/>
      <c r="AF38" s="168"/>
      <c r="AG38" s="273"/>
      <c r="AH38" s="273"/>
      <c r="AI38" s="165"/>
      <c r="AJ38" s="233"/>
    </row>
    <row r="39" spans="1:37">
      <c r="A39" s="166" t="s">
        <v>650</v>
      </c>
      <c r="B39" s="191"/>
      <c r="C39" s="273"/>
      <c r="D39" s="168"/>
      <c r="E39" s="273"/>
      <c r="F39" s="273"/>
      <c r="G39" s="273"/>
      <c r="H39" s="273"/>
      <c r="I39" s="273"/>
      <c r="J39" s="168"/>
      <c r="K39" s="168"/>
      <c r="L39" s="273"/>
      <c r="M39" s="273"/>
      <c r="N39" s="168"/>
      <c r="O39" s="168"/>
      <c r="P39" s="273"/>
      <c r="Q39" s="273"/>
      <c r="R39" s="168"/>
      <c r="S39" s="273"/>
      <c r="T39" s="273"/>
      <c r="U39" s="168"/>
      <c r="V39" s="168"/>
      <c r="W39" s="168"/>
      <c r="X39" s="168"/>
      <c r="Y39" s="168"/>
      <c r="Z39" s="273"/>
      <c r="AA39" s="273"/>
      <c r="AB39" s="273"/>
      <c r="AC39" s="168"/>
      <c r="AD39" s="168"/>
      <c r="AE39" s="168"/>
      <c r="AF39" s="168"/>
      <c r="AG39" s="273"/>
      <c r="AH39" s="273"/>
      <c r="AI39" s="165"/>
      <c r="AJ39" s="233"/>
    </row>
    <row r="40" spans="1:37">
      <c r="A40" s="166" t="s">
        <v>672</v>
      </c>
      <c r="B40" s="191"/>
      <c r="C40" s="328"/>
      <c r="D40" s="328"/>
      <c r="E40" s="273"/>
      <c r="F40" s="273"/>
      <c r="G40" s="273"/>
      <c r="H40" s="167"/>
      <c r="I40" s="167"/>
      <c r="J40" s="328"/>
      <c r="K40" s="328"/>
      <c r="L40" s="167"/>
      <c r="M40" s="273"/>
      <c r="N40" s="328"/>
      <c r="O40" s="328"/>
      <c r="P40" s="328"/>
      <c r="Q40" s="328"/>
      <c r="R40" s="328"/>
      <c r="S40" s="328"/>
      <c r="T40" s="328"/>
      <c r="U40" s="328"/>
      <c r="V40" s="328"/>
      <c r="W40" s="328"/>
      <c r="X40" s="328"/>
      <c r="Y40" s="328"/>
      <c r="Z40" s="328"/>
      <c r="AA40" s="328"/>
      <c r="AB40" s="273"/>
      <c r="AC40" s="328"/>
      <c r="AD40" s="328"/>
      <c r="AE40" s="328"/>
      <c r="AF40" s="328">
        <v>108652171</v>
      </c>
      <c r="AG40" s="328"/>
      <c r="AH40" s="273"/>
      <c r="AI40" s="165"/>
      <c r="AJ40" s="233"/>
    </row>
    <row r="41" spans="1:37">
      <c r="A41" s="166" t="s">
        <v>673</v>
      </c>
      <c r="B41" s="191"/>
      <c r="C41" s="328"/>
      <c r="D41" s="328"/>
      <c r="E41" s="273"/>
      <c r="F41" s="273"/>
      <c r="G41" s="273"/>
      <c r="H41" s="167"/>
      <c r="I41" s="167"/>
      <c r="J41" s="328"/>
      <c r="K41" s="328"/>
      <c r="L41" s="167"/>
      <c r="M41" s="273"/>
      <c r="N41" s="328"/>
      <c r="O41" s="328"/>
      <c r="P41" s="328"/>
      <c r="Q41" s="328"/>
      <c r="R41" s="328"/>
      <c r="S41" s="328"/>
      <c r="T41" s="328"/>
      <c r="U41" s="328"/>
      <c r="V41" s="328"/>
      <c r="W41" s="328"/>
      <c r="X41" s="328"/>
      <c r="Y41" s="328"/>
      <c r="Z41" s="328"/>
      <c r="AA41" s="328"/>
      <c r="AB41" s="273"/>
      <c r="AC41" s="328"/>
      <c r="AD41" s="328"/>
      <c r="AE41" s="328"/>
      <c r="AF41" s="328">
        <v>572491141</v>
      </c>
      <c r="AG41" s="328"/>
      <c r="AH41" s="273"/>
      <c r="AI41" s="165"/>
      <c r="AJ41" s="233"/>
    </row>
    <row r="42" spans="1:37">
      <c r="A42" s="166" t="s">
        <v>674</v>
      </c>
      <c r="B42" s="191"/>
      <c r="C42" s="328"/>
      <c r="D42" s="328"/>
      <c r="E42" s="273"/>
      <c r="F42" s="273"/>
      <c r="G42" s="273"/>
      <c r="H42" s="167"/>
      <c r="I42" s="167"/>
      <c r="J42" s="328"/>
      <c r="K42" s="328"/>
      <c r="L42" s="167"/>
      <c r="M42" s="273"/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  <c r="AA42" s="328"/>
      <c r="AB42" s="273"/>
      <c r="AC42" s="328"/>
      <c r="AD42" s="328"/>
      <c r="AE42" s="328"/>
      <c r="AF42" s="328">
        <v>97350602</v>
      </c>
      <c r="AG42" s="328"/>
      <c r="AH42" s="273"/>
      <c r="AI42" s="165"/>
      <c r="AJ42" s="233"/>
    </row>
    <row r="43" spans="1:37">
      <c r="A43" s="166" t="s">
        <v>27</v>
      </c>
      <c r="B43" s="191"/>
      <c r="C43" s="273"/>
      <c r="D43" s="273"/>
      <c r="E43" s="273"/>
      <c r="F43" s="273"/>
      <c r="G43" s="273"/>
      <c r="H43" s="273"/>
      <c r="I43" s="171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>
        <v>94027500</v>
      </c>
      <c r="AE43" s="273"/>
      <c r="AF43" s="273"/>
      <c r="AG43" s="273"/>
      <c r="AH43" s="273"/>
      <c r="AI43" s="165"/>
      <c r="AJ43" s="233"/>
    </row>
    <row r="44" spans="1:37">
      <c r="A44" s="166" t="s">
        <v>30</v>
      </c>
      <c r="B44" s="191"/>
      <c r="C44" s="170"/>
      <c r="D44" s="171"/>
      <c r="E44" s="170"/>
      <c r="F44" s="273"/>
      <c r="G44" s="170"/>
      <c r="H44" s="170"/>
      <c r="I44" s="171"/>
      <c r="J44" s="171"/>
      <c r="K44" s="171"/>
      <c r="L44" s="171"/>
      <c r="M44" s="171"/>
      <c r="N44" s="170"/>
      <c r="O44" s="171"/>
      <c r="P44" s="170"/>
      <c r="Q44" s="170"/>
      <c r="R44" s="171"/>
      <c r="S44" s="170"/>
      <c r="T44" s="170"/>
      <c r="U44" s="171"/>
      <c r="V44" s="171"/>
      <c r="W44" s="171"/>
      <c r="X44" s="171"/>
      <c r="Y44" s="171"/>
      <c r="Z44" s="171"/>
      <c r="AA44" s="171"/>
      <c r="AB44" s="170"/>
      <c r="AC44" s="171"/>
      <c r="AD44" s="171"/>
      <c r="AE44" s="171"/>
      <c r="AF44" s="171"/>
      <c r="AG44" s="170"/>
      <c r="AH44" s="170"/>
      <c r="AI44" s="165"/>
      <c r="AJ44" s="170"/>
    </row>
    <row r="45" spans="1:37">
      <c r="A45" s="166" t="s">
        <v>347</v>
      </c>
      <c r="B45" s="191"/>
      <c r="C45" s="170"/>
      <c r="D45" s="273"/>
      <c r="E45" s="171"/>
      <c r="F45" s="273"/>
      <c r="G45" s="171"/>
      <c r="H45" s="171"/>
      <c r="I45" s="171"/>
      <c r="J45" s="273"/>
      <c r="K45" s="171"/>
      <c r="L45" s="171"/>
      <c r="M45" s="171"/>
      <c r="N45" s="170"/>
      <c r="O45" s="171"/>
      <c r="P45" s="170"/>
      <c r="Q45" s="170"/>
      <c r="R45" s="171"/>
      <c r="S45" s="170"/>
      <c r="T45" s="170"/>
      <c r="U45" s="171"/>
      <c r="V45" s="171"/>
      <c r="W45" s="171"/>
      <c r="X45" s="171"/>
      <c r="Y45" s="171"/>
      <c r="Z45" s="273"/>
      <c r="AA45" s="273"/>
      <c r="AB45" s="171"/>
      <c r="AC45" s="171"/>
      <c r="AD45" s="171"/>
      <c r="AE45" s="171">
        <v>201959506</v>
      </c>
      <c r="AF45" s="171"/>
      <c r="AG45" s="170"/>
      <c r="AH45" s="170"/>
      <c r="AI45" s="165"/>
      <c r="AJ45" s="170"/>
    </row>
    <row r="46" spans="1:37">
      <c r="A46" s="192" t="s">
        <v>476</v>
      </c>
      <c r="B46" s="191"/>
      <c r="C46" s="273"/>
      <c r="D46" s="273"/>
      <c r="E46" s="273"/>
      <c r="F46" s="273"/>
      <c r="G46" s="273"/>
      <c r="H46" s="273"/>
      <c r="I46" s="171"/>
      <c r="J46" s="273"/>
      <c r="K46" s="171"/>
      <c r="L46" s="171"/>
      <c r="M46" s="171"/>
      <c r="N46" s="273"/>
      <c r="O46" s="171"/>
      <c r="P46" s="273"/>
      <c r="Q46" s="273"/>
      <c r="R46" s="171"/>
      <c r="S46" s="273"/>
      <c r="T46" s="273">
        <v>7975000</v>
      </c>
      <c r="U46" s="171"/>
      <c r="V46" s="171"/>
      <c r="W46" s="171"/>
      <c r="X46" s="171"/>
      <c r="Y46" s="171"/>
      <c r="Z46" s="273"/>
      <c r="AA46" s="273"/>
      <c r="AB46" s="273"/>
      <c r="AC46" s="171"/>
      <c r="AD46" s="171"/>
      <c r="AE46" s="171">
        <v>19316668</v>
      </c>
      <c r="AF46" s="171"/>
      <c r="AG46" s="273"/>
      <c r="AH46" s="273"/>
      <c r="AI46" s="165"/>
      <c r="AJ46" s="167"/>
    </row>
    <row r="47" spans="1:37">
      <c r="A47" s="192" t="s">
        <v>693</v>
      </c>
      <c r="B47" s="191"/>
      <c r="C47" s="273"/>
      <c r="D47" s="175"/>
      <c r="E47" s="175"/>
      <c r="F47" s="273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2"/>
      <c r="AA47" s="175"/>
      <c r="AB47" s="175"/>
      <c r="AC47" s="175"/>
      <c r="AD47" s="175"/>
      <c r="AE47" s="175"/>
      <c r="AF47" s="175"/>
      <c r="AG47" s="273"/>
      <c r="AH47" s="273"/>
      <c r="AI47" s="165"/>
      <c r="AJ47" s="167"/>
    </row>
    <row r="48" spans="1:37">
      <c r="A48" s="192" t="s">
        <v>670</v>
      </c>
      <c r="B48" s="191"/>
      <c r="C48" s="175"/>
      <c r="D48" s="175"/>
      <c r="E48" s="175"/>
      <c r="F48" s="273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>
        <f>35000000*5</f>
        <v>175000000</v>
      </c>
      <c r="AG48" s="175"/>
      <c r="AH48" s="273"/>
      <c r="AI48" s="165"/>
      <c r="AJ48" s="167"/>
    </row>
    <row r="49" spans="1:36">
      <c r="A49" s="192" t="s">
        <v>213</v>
      </c>
      <c r="B49" s="191"/>
      <c r="C49" s="273">
        <v>1000000000</v>
      </c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171">
        <v>1000000000</v>
      </c>
      <c r="O49" s="273"/>
      <c r="P49" s="273"/>
      <c r="Q49" s="273"/>
      <c r="R49" s="273"/>
      <c r="S49" s="273"/>
      <c r="T49" s="273">
        <v>2000000000</v>
      </c>
      <c r="U49" s="273"/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165"/>
      <c r="AJ49" s="167"/>
    </row>
    <row r="50" spans="1:36">
      <c r="A50" s="192" t="s">
        <v>679</v>
      </c>
      <c r="B50" s="191"/>
      <c r="C50" s="273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171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165"/>
      <c r="AJ50" s="167"/>
    </row>
    <row r="51" spans="1:36">
      <c r="A51" s="192" t="s">
        <v>613</v>
      </c>
      <c r="B51" s="191"/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171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>
        <v>51775000</v>
      </c>
      <c r="AD51" s="273"/>
      <c r="AE51" s="273"/>
      <c r="AF51" s="273"/>
      <c r="AG51" s="273"/>
      <c r="AH51" s="273"/>
      <c r="AI51" s="165"/>
      <c r="AJ51" s="167"/>
    </row>
    <row r="52" spans="1:36">
      <c r="A52" s="192" t="s">
        <v>119</v>
      </c>
      <c r="B52" s="191"/>
      <c r="C52" s="175"/>
      <c r="D52" s="175"/>
      <c r="E52" s="175"/>
      <c r="F52" s="171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>
        <v>6000000000</v>
      </c>
      <c r="AG52" s="175"/>
      <c r="AH52" s="171"/>
      <c r="AI52" s="165"/>
      <c r="AJ52" s="175"/>
    </row>
    <row r="53" spans="1:36">
      <c r="A53" s="195" t="s">
        <v>32</v>
      </c>
      <c r="B53" s="196"/>
      <c r="C53" s="197">
        <f t="shared" ref="C53:AI53" si="0">SUM(C7:C52)</f>
        <v>1716362424</v>
      </c>
      <c r="D53" s="197">
        <f t="shared" si="0"/>
        <v>0</v>
      </c>
      <c r="E53" s="197">
        <f t="shared" si="0"/>
        <v>0</v>
      </c>
      <c r="F53" s="197">
        <f t="shared" si="0"/>
        <v>1371502898</v>
      </c>
      <c r="G53" s="197">
        <f t="shared" si="0"/>
        <v>2549148230</v>
      </c>
      <c r="H53" s="197">
        <f t="shared" si="0"/>
        <v>0</v>
      </c>
      <c r="I53" s="197">
        <f t="shared" si="0"/>
        <v>0</v>
      </c>
      <c r="J53" s="197">
        <f t="shared" si="0"/>
        <v>20207023</v>
      </c>
      <c r="K53" s="197">
        <f t="shared" si="0"/>
        <v>0</v>
      </c>
      <c r="L53" s="197">
        <f t="shared" si="0"/>
        <v>0</v>
      </c>
      <c r="M53" s="197">
        <f t="shared" si="0"/>
        <v>3937618493</v>
      </c>
      <c r="N53" s="197">
        <f>SUM(N7:N52)</f>
        <v>1124458780</v>
      </c>
      <c r="O53" s="197">
        <f t="shared" si="0"/>
        <v>0</v>
      </c>
      <c r="P53" s="197">
        <f t="shared" si="0"/>
        <v>0</v>
      </c>
      <c r="Q53" s="197">
        <f t="shared" si="0"/>
        <v>617203603</v>
      </c>
      <c r="R53" s="197">
        <f t="shared" si="0"/>
        <v>0</v>
      </c>
      <c r="S53" s="197">
        <f t="shared" si="0"/>
        <v>0</v>
      </c>
      <c r="T53" s="197">
        <f>SUM(T7:T52)</f>
        <v>2139117534</v>
      </c>
      <c r="U53" s="197">
        <f t="shared" si="0"/>
        <v>325244030</v>
      </c>
      <c r="V53" s="197">
        <f t="shared" si="0"/>
        <v>86874223</v>
      </c>
      <c r="W53" s="197">
        <f t="shared" si="0"/>
        <v>0</v>
      </c>
      <c r="X53" s="197">
        <f t="shared" si="0"/>
        <v>500429</v>
      </c>
      <c r="Y53" s="197">
        <f t="shared" si="0"/>
        <v>0</v>
      </c>
      <c r="Z53" s="197">
        <f t="shared" si="0"/>
        <v>0</v>
      </c>
      <c r="AA53" s="197">
        <f t="shared" si="0"/>
        <v>512140256</v>
      </c>
      <c r="AB53" s="197">
        <f t="shared" si="0"/>
        <v>38649240</v>
      </c>
      <c r="AC53" s="197">
        <f t="shared" si="0"/>
        <v>106941299</v>
      </c>
      <c r="AD53" s="197">
        <f t="shared" si="0"/>
        <v>325810041</v>
      </c>
      <c r="AE53" s="197">
        <f t="shared" si="0"/>
        <v>438197654</v>
      </c>
      <c r="AF53" s="197">
        <f t="shared" si="0"/>
        <v>9552978955</v>
      </c>
      <c r="AG53" s="197">
        <f t="shared" si="0"/>
        <v>0</v>
      </c>
      <c r="AH53" s="197">
        <f t="shared" si="0"/>
        <v>0</v>
      </c>
      <c r="AI53" s="197">
        <f t="shared" si="0"/>
        <v>0</v>
      </c>
    </row>
    <row r="54" spans="1:36">
      <c r="A54" s="199"/>
      <c r="B54" s="162"/>
      <c r="C54" s="190">
        <v>0</v>
      </c>
      <c r="D54" s="190">
        <v>0</v>
      </c>
      <c r="E54" s="190">
        <v>0</v>
      </c>
      <c r="F54" s="165"/>
      <c r="G54" s="165"/>
      <c r="H54" s="165"/>
      <c r="I54" s="165"/>
      <c r="J54" s="200"/>
      <c r="K54" s="200"/>
      <c r="L54" s="165"/>
      <c r="M54" s="165"/>
      <c r="N54" s="165"/>
      <c r="O54" s="200"/>
      <c r="P54" s="165"/>
      <c r="Q54" s="165"/>
      <c r="R54" s="165"/>
      <c r="S54" s="165"/>
      <c r="T54" s="165"/>
      <c r="U54" s="165"/>
      <c r="V54" s="165"/>
      <c r="W54" s="190">
        <v>0</v>
      </c>
      <c r="X54" s="190">
        <v>0</v>
      </c>
      <c r="Y54" s="190">
        <v>0</v>
      </c>
      <c r="Z54" s="190">
        <v>0</v>
      </c>
      <c r="AA54" s="190">
        <v>0</v>
      </c>
      <c r="AB54" s="190">
        <v>0</v>
      </c>
      <c r="AC54" s="165"/>
      <c r="AD54" s="165"/>
      <c r="AE54" s="165"/>
      <c r="AF54" s="165"/>
      <c r="AG54" s="165"/>
      <c r="AH54" s="165"/>
      <c r="AI54" s="201"/>
      <c r="AJ54" s="154"/>
    </row>
    <row r="55" spans="1:36">
      <c r="A55" s="202" t="s">
        <v>33</v>
      </c>
      <c r="B55" s="162"/>
      <c r="C55" s="165"/>
      <c r="D55" s="200"/>
      <c r="E55" s="200"/>
      <c r="F55" s="165"/>
      <c r="G55" s="165"/>
      <c r="H55" s="165"/>
      <c r="I55" s="165"/>
      <c r="J55" s="200"/>
      <c r="K55" s="200"/>
      <c r="L55" s="165"/>
      <c r="M55" s="165"/>
      <c r="N55" s="165"/>
      <c r="O55" s="200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200"/>
      <c r="AB55" s="200"/>
      <c r="AC55" s="165"/>
      <c r="AD55" s="165"/>
      <c r="AE55" s="165"/>
      <c r="AF55" s="165"/>
      <c r="AG55" s="165"/>
      <c r="AH55" s="165"/>
      <c r="AI55" s="201">
        <f t="shared" ref="AI55:AI79" si="1">SUM(B55:AG55)</f>
        <v>0</v>
      </c>
      <c r="AJ55" s="154"/>
    </row>
    <row r="56" spans="1:36">
      <c r="A56" s="203" t="s">
        <v>34</v>
      </c>
      <c r="B56" s="20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208"/>
      <c r="P56" s="164"/>
      <c r="Q56" s="164"/>
      <c r="R56" s="164"/>
      <c r="S56" s="164"/>
      <c r="T56" s="164">
        <v>4735312073</v>
      </c>
      <c r="U56" s="306"/>
      <c r="V56" s="164"/>
      <c r="W56" s="190"/>
      <c r="X56" s="164"/>
      <c r="Y56" s="164"/>
      <c r="Z56" s="164"/>
      <c r="AA56" s="164">
        <v>1015437329</v>
      </c>
      <c r="AB56" s="164"/>
      <c r="AC56" s="164"/>
      <c r="AD56" s="164">
        <v>3132272705</v>
      </c>
      <c r="AE56" s="164"/>
      <c r="AF56" s="164"/>
      <c r="AG56" s="164"/>
      <c r="AH56" s="190"/>
      <c r="AI56" s="201">
        <f t="shared" si="1"/>
        <v>8883022107</v>
      </c>
      <c r="AJ56" s="173"/>
    </row>
    <row r="57" spans="1:36">
      <c r="A57" s="203" t="s">
        <v>34</v>
      </c>
      <c r="B57" s="20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208"/>
      <c r="P57" s="164"/>
      <c r="Q57" s="164"/>
      <c r="R57" s="164"/>
      <c r="S57" s="164"/>
      <c r="T57" s="164">
        <v>1696419739</v>
      </c>
      <c r="U57" s="306"/>
      <c r="V57" s="164"/>
      <c r="W57" s="190"/>
      <c r="X57" s="164"/>
      <c r="Y57" s="164"/>
      <c r="Z57" s="164"/>
      <c r="AA57" s="164"/>
      <c r="AB57" s="164"/>
      <c r="AC57" s="164"/>
      <c r="AD57" s="164">
        <v>2781795408</v>
      </c>
      <c r="AE57" s="164"/>
      <c r="AF57" s="164"/>
      <c r="AG57" s="164"/>
      <c r="AH57" s="190"/>
      <c r="AI57" s="201"/>
      <c r="AJ57" s="173"/>
    </row>
    <row r="58" spans="1:36">
      <c r="A58" s="203" t="s">
        <v>198</v>
      </c>
      <c r="B58" s="204"/>
      <c r="C58" s="164"/>
      <c r="D58" s="164"/>
      <c r="E58" s="164"/>
      <c r="F58" s="164"/>
      <c r="G58" s="164"/>
      <c r="H58" s="190"/>
      <c r="I58" s="164"/>
      <c r="J58" s="164"/>
      <c r="K58" s="164"/>
      <c r="L58" s="164"/>
      <c r="M58" s="164"/>
      <c r="N58" s="164"/>
      <c r="O58" s="208"/>
      <c r="P58" s="164"/>
      <c r="Q58" s="164"/>
      <c r="R58" s="164"/>
      <c r="S58" s="164"/>
      <c r="T58" s="164">
        <v>36428298</v>
      </c>
      <c r="U58" s="306"/>
      <c r="V58" s="164"/>
      <c r="W58" s="190"/>
      <c r="X58" s="164"/>
      <c r="Y58" s="164"/>
      <c r="Z58" s="164"/>
      <c r="AA58" s="164">
        <v>4061749</v>
      </c>
      <c r="AB58" s="164"/>
      <c r="AC58" s="164"/>
      <c r="AD58" s="164">
        <v>20709388</v>
      </c>
      <c r="AE58" s="190"/>
      <c r="AF58" s="164"/>
      <c r="AG58" s="164"/>
      <c r="AH58" s="190"/>
      <c r="AI58" s="201">
        <f t="shared" si="1"/>
        <v>61199435</v>
      </c>
      <c r="AJ58" s="173"/>
    </row>
    <row r="59" spans="1:36">
      <c r="A59" s="203" t="s">
        <v>227</v>
      </c>
      <c r="B59" s="204"/>
      <c r="C59" s="164"/>
      <c r="D59" s="164"/>
      <c r="E59" s="164"/>
      <c r="F59" s="164">
        <v>4333441623</v>
      </c>
      <c r="G59" s="164"/>
      <c r="H59" s="306"/>
      <c r="I59" s="164">
        <v>350558438</v>
      </c>
      <c r="J59" s="164"/>
      <c r="K59" s="164"/>
      <c r="L59" s="164"/>
      <c r="M59" s="164"/>
      <c r="N59" s="164"/>
      <c r="O59" s="208"/>
      <c r="P59" s="164"/>
      <c r="Q59" s="164"/>
      <c r="R59" s="164"/>
      <c r="S59" s="164"/>
      <c r="T59" s="164"/>
      <c r="U59" s="306"/>
      <c r="V59" s="164"/>
      <c r="W59" s="190"/>
      <c r="X59" s="164"/>
      <c r="Y59" s="164"/>
      <c r="Z59" s="164"/>
      <c r="AA59" s="164"/>
      <c r="AB59" s="164"/>
      <c r="AC59" s="164"/>
      <c r="AD59" s="164"/>
      <c r="AE59" s="306"/>
      <c r="AF59" s="164"/>
      <c r="AG59" s="164"/>
      <c r="AH59" s="190"/>
      <c r="AI59" s="201">
        <f t="shared" si="1"/>
        <v>4684000061</v>
      </c>
      <c r="AJ59" s="173"/>
    </row>
    <row r="60" spans="1:36">
      <c r="A60" s="203" t="s">
        <v>227</v>
      </c>
      <c r="B60" s="204"/>
      <c r="C60" s="164"/>
      <c r="D60" s="164"/>
      <c r="E60" s="164"/>
      <c r="F60" s="164">
        <v>2157635181</v>
      </c>
      <c r="G60" s="164"/>
      <c r="H60" s="306"/>
      <c r="I60" s="164"/>
      <c r="J60" s="164"/>
      <c r="K60" s="164"/>
      <c r="L60" s="164"/>
      <c r="M60" s="164"/>
      <c r="N60" s="164"/>
      <c r="O60" s="208"/>
      <c r="P60" s="164"/>
      <c r="Q60" s="164"/>
      <c r="R60" s="164"/>
      <c r="S60" s="164"/>
      <c r="T60" s="164"/>
      <c r="U60" s="306"/>
      <c r="V60" s="164"/>
      <c r="W60" s="190"/>
      <c r="X60" s="164"/>
      <c r="Y60" s="164"/>
      <c r="Z60" s="164"/>
      <c r="AA60" s="164"/>
      <c r="AB60" s="164"/>
      <c r="AC60" s="164"/>
      <c r="AD60" s="164"/>
      <c r="AE60" s="306"/>
      <c r="AF60" s="164"/>
      <c r="AG60" s="164"/>
      <c r="AH60" s="190"/>
      <c r="AI60" s="201"/>
      <c r="AJ60" s="173"/>
    </row>
    <row r="61" spans="1:36">
      <c r="A61" s="203" t="s">
        <v>227</v>
      </c>
      <c r="B61" s="204"/>
      <c r="C61" s="164"/>
      <c r="D61" s="164"/>
      <c r="E61" s="164"/>
      <c r="F61" s="164">
        <v>4411529771</v>
      </c>
      <c r="G61" s="164"/>
      <c r="H61" s="306"/>
      <c r="I61" s="164"/>
      <c r="J61" s="164"/>
      <c r="K61" s="164"/>
      <c r="L61" s="164"/>
      <c r="M61" s="164"/>
      <c r="N61" s="164"/>
      <c r="O61" s="208"/>
      <c r="P61" s="164"/>
      <c r="Q61" s="164"/>
      <c r="R61" s="164"/>
      <c r="S61" s="164"/>
      <c r="T61" s="164"/>
      <c r="U61" s="306"/>
      <c r="V61" s="164"/>
      <c r="W61" s="190"/>
      <c r="X61" s="164"/>
      <c r="Y61" s="164"/>
      <c r="Z61" s="164"/>
      <c r="AA61" s="164"/>
      <c r="AB61" s="164"/>
      <c r="AC61" s="164"/>
      <c r="AD61" s="164"/>
      <c r="AE61" s="306"/>
      <c r="AF61" s="164"/>
      <c r="AG61" s="164"/>
      <c r="AH61" s="190"/>
      <c r="AI61" s="201"/>
      <c r="AJ61" s="173"/>
    </row>
    <row r="62" spans="1:36">
      <c r="A62" s="203" t="s">
        <v>227</v>
      </c>
      <c r="B62" s="204"/>
      <c r="C62" s="164"/>
      <c r="D62" s="164"/>
      <c r="E62" s="164"/>
      <c r="F62" s="164">
        <v>1637230215</v>
      </c>
      <c r="G62" s="164"/>
      <c r="H62" s="306"/>
      <c r="I62" s="164"/>
      <c r="J62" s="164"/>
      <c r="K62" s="164"/>
      <c r="L62" s="164"/>
      <c r="M62" s="164"/>
      <c r="N62" s="164"/>
      <c r="O62" s="208"/>
      <c r="P62" s="164"/>
      <c r="Q62" s="164"/>
      <c r="R62" s="164"/>
      <c r="S62" s="164"/>
      <c r="T62" s="164"/>
      <c r="U62" s="306"/>
      <c r="V62" s="164"/>
      <c r="W62" s="190"/>
      <c r="X62" s="164"/>
      <c r="Y62" s="164"/>
      <c r="Z62" s="164"/>
      <c r="AA62" s="164"/>
      <c r="AB62" s="164"/>
      <c r="AC62" s="164"/>
      <c r="AD62" s="164"/>
      <c r="AE62" s="306"/>
      <c r="AF62" s="164"/>
      <c r="AG62" s="164"/>
      <c r="AH62" s="190"/>
      <c r="AI62" s="201"/>
      <c r="AJ62" s="173"/>
    </row>
    <row r="63" spans="1:36">
      <c r="A63" s="203" t="s">
        <v>227</v>
      </c>
      <c r="B63" s="204"/>
      <c r="C63" s="164"/>
      <c r="D63" s="164"/>
      <c r="E63" s="164"/>
      <c r="F63" s="164">
        <v>4646695306</v>
      </c>
      <c r="G63" s="164"/>
      <c r="H63" s="306"/>
      <c r="I63" s="164"/>
      <c r="J63" s="164"/>
      <c r="K63" s="164"/>
      <c r="L63" s="164"/>
      <c r="M63" s="164"/>
      <c r="N63" s="164"/>
      <c r="O63" s="208"/>
      <c r="P63" s="164"/>
      <c r="Q63" s="164"/>
      <c r="R63" s="164"/>
      <c r="S63" s="164"/>
      <c r="T63" s="164"/>
      <c r="U63" s="306"/>
      <c r="V63" s="164"/>
      <c r="W63" s="190"/>
      <c r="X63" s="164"/>
      <c r="Y63" s="164"/>
      <c r="Z63" s="164"/>
      <c r="AA63" s="164"/>
      <c r="AB63" s="164"/>
      <c r="AC63" s="164"/>
      <c r="AD63" s="164"/>
      <c r="AE63" s="306"/>
      <c r="AF63" s="164"/>
      <c r="AG63" s="164"/>
      <c r="AH63" s="190"/>
      <c r="AI63" s="201"/>
      <c r="AJ63" s="173"/>
    </row>
    <row r="64" spans="1:36">
      <c r="A64" s="203" t="s">
        <v>227</v>
      </c>
      <c r="B64" s="204"/>
      <c r="C64" s="164"/>
      <c r="D64" s="164"/>
      <c r="E64" s="164"/>
      <c r="F64" s="164">
        <v>3159195808</v>
      </c>
      <c r="G64" s="164"/>
      <c r="H64" s="306"/>
      <c r="I64" s="164"/>
      <c r="J64" s="164"/>
      <c r="K64" s="164"/>
      <c r="L64" s="164"/>
      <c r="M64" s="164"/>
      <c r="N64" s="164"/>
      <c r="O64" s="208"/>
      <c r="P64" s="164"/>
      <c r="Q64" s="164"/>
      <c r="R64" s="164"/>
      <c r="S64" s="164"/>
      <c r="T64" s="164"/>
      <c r="U64" s="306"/>
      <c r="V64" s="164"/>
      <c r="W64" s="190"/>
      <c r="X64" s="164"/>
      <c r="Y64" s="164"/>
      <c r="Z64" s="164"/>
      <c r="AA64" s="164"/>
      <c r="AB64" s="164"/>
      <c r="AC64" s="164"/>
      <c r="AD64" s="164"/>
      <c r="AE64" s="306"/>
      <c r="AF64" s="164"/>
      <c r="AG64" s="164"/>
      <c r="AH64" s="190"/>
      <c r="AI64" s="201"/>
      <c r="AJ64" s="173"/>
    </row>
    <row r="65" spans="1:38">
      <c r="A65" s="203" t="s">
        <v>199</v>
      </c>
      <c r="B65" s="204"/>
      <c r="C65" s="164"/>
      <c r="D65" s="164"/>
      <c r="E65" s="164"/>
      <c r="F65" s="164"/>
      <c r="G65" s="172"/>
      <c r="H65" s="306"/>
      <c r="I65" s="164">
        <v>1633894</v>
      </c>
      <c r="J65" s="164"/>
      <c r="K65" s="164"/>
      <c r="L65" s="164"/>
      <c r="M65" s="164"/>
      <c r="N65" s="164"/>
      <c r="O65" s="208"/>
      <c r="P65" s="164"/>
      <c r="Q65" s="171"/>
      <c r="R65" s="164"/>
      <c r="S65" s="164"/>
      <c r="T65" s="164"/>
      <c r="U65" s="306"/>
      <c r="V65" s="164"/>
      <c r="W65" s="164"/>
      <c r="X65" s="164"/>
      <c r="Y65" s="164"/>
      <c r="Z65" s="164"/>
      <c r="AA65" s="164"/>
      <c r="AB65" s="164"/>
      <c r="AC65" s="164">
        <v>12422926</v>
      </c>
      <c r="AD65" s="172"/>
      <c r="AE65" s="306"/>
      <c r="AF65" s="208"/>
      <c r="AG65" s="164"/>
      <c r="AH65" s="190"/>
      <c r="AI65" s="201">
        <f t="shared" si="1"/>
        <v>14056820</v>
      </c>
      <c r="AJ65" s="173"/>
      <c r="AL65" s="150" t="s">
        <v>253</v>
      </c>
    </row>
    <row r="66" spans="1:38">
      <c r="A66" s="203" t="s">
        <v>228</v>
      </c>
      <c r="B66" s="204"/>
      <c r="C66" s="164"/>
      <c r="D66" s="164"/>
      <c r="E66" s="164"/>
      <c r="F66" s="164"/>
      <c r="G66" s="190"/>
      <c r="H66" s="164"/>
      <c r="I66" s="164">
        <v>1654519651</v>
      </c>
      <c r="J66" s="164"/>
      <c r="K66" s="164"/>
      <c r="L66" s="308"/>
      <c r="M66" s="164"/>
      <c r="N66" s="164">
        <v>763879857</v>
      </c>
      <c r="O66" s="208"/>
      <c r="P66" s="208"/>
      <c r="Q66" s="164"/>
      <c r="R66" s="164"/>
      <c r="S66" s="164"/>
      <c r="T66" s="164"/>
      <c r="U66" s="309"/>
      <c r="V66" s="190"/>
      <c r="W66" s="164"/>
      <c r="X66" s="164"/>
      <c r="Y66" s="164"/>
      <c r="Z66" s="164"/>
      <c r="AA66" s="164">
        <v>890698210</v>
      </c>
      <c r="AB66" s="164"/>
      <c r="AC66" s="164"/>
      <c r="AD66" s="164">
        <v>2997915051</v>
      </c>
      <c r="AE66" s="164"/>
      <c r="AF66" s="208"/>
      <c r="AG66" s="164"/>
      <c r="AH66" s="190"/>
      <c r="AI66" s="201">
        <f t="shared" si="1"/>
        <v>6307012769</v>
      </c>
      <c r="AJ66" s="173"/>
    </row>
    <row r="67" spans="1:38">
      <c r="A67" s="203" t="s">
        <v>200</v>
      </c>
      <c r="B67" s="204"/>
      <c r="C67" s="164"/>
      <c r="D67" s="164"/>
      <c r="E67" s="164"/>
      <c r="F67" s="164"/>
      <c r="G67" s="190"/>
      <c r="H67" s="164"/>
      <c r="I67" s="164">
        <v>8203660</v>
      </c>
      <c r="J67" s="164"/>
      <c r="K67" s="164"/>
      <c r="L67" s="308"/>
      <c r="M67" s="164"/>
      <c r="N67" s="164"/>
      <c r="O67" s="208"/>
      <c r="P67" s="208"/>
      <c r="Q67" s="164"/>
      <c r="R67" s="164"/>
      <c r="S67" s="164"/>
      <c r="T67" s="164"/>
      <c r="U67" s="208"/>
      <c r="V67" s="164"/>
      <c r="W67" s="164"/>
      <c r="X67" s="164"/>
      <c r="Y67" s="164"/>
      <c r="Z67" s="164"/>
      <c r="AA67" s="164">
        <v>3785467</v>
      </c>
      <c r="AB67" s="164"/>
      <c r="AC67" s="164"/>
      <c r="AD67" s="164">
        <v>10886157</v>
      </c>
      <c r="AE67" s="164"/>
      <c r="AF67" s="208"/>
      <c r="AG67" s="164"/>
      <c r="AH67" s="190"/>
      <c r="AI67" s="201">
        <f t="shared" si="1"/>
        <v>22875284</v>
      </c>
      <c r="AJ67" s="173"/>
    </row>
    <row r="68" spans="1:38">
      <c r="A68" s="203" t="s">
        <v>36</v>
      </c>
      <c r="B68" s="204"/>
      <c r="C68" s="164"/>
      <c r="D68" s="164"/>
      <c r="E68" s="164"/>
      <c r="F68" s="164"/>
      <c r="G68" s="190"/>
      <c r="H68" s="164"/>
      <c r="I68" s="164">
        <v>1925893472</v>
      </c>
      <c r="J68" s="164"/>
      <c r="K68" s="164"/>
      <c r="L68" s="308"/>
      <c r="M68" s="164"/>
      <c r="N68" s="164">
        <v>1610533643</v>
      </c>
      <c r="O68" s="208"/>
      <c r="P68" s="208"/>
      <c r="Q68" s="164"/>
      <c r="R68" s="164"/>
      <c r="S68" s="164"/>
      <c r="T68" s="164">
        <v>963968350</v>
      </c>
      <c r="U68" s="208"/>
      <c r="V68" s="164"/>
      <c r="W68" s="190"/>
      <c r="X68" s="164"/>
      <c r="Y68" s="164"/>
      <c r="Z68" s="164"/>
      <c r="AA68" s="164">
        <v>3183647300</v>
      </c>
      <c r="AB68" s="164"/>
      <c r="AC68" s="164"/>
      <c r="AD68" s="164"/>
      <c r="AE68" s="164"/>
      <c r="AF68" s="208"/>
      <c r="AG68" s="164"/>
      <c r="AH68" s="190"/>
      <c r="AI68" s="201">
        <f t="shared" si="1"/>
        <v>7684042765</v>
      </c>
      <c r="AJ68" s="173"/>
    </row>
    <row r="69" spans="1:38">
      <c r="A69" s="203" t="s">
        <v>242</v>
      </c>
      <c r="B69" s="204"/>
      <c r="C69" s="164"/>
      <c r="D69" s="164"/>
      <c r="E69" s="164"/>
      <c r="F69" s="164"/>
      <c r="G69" s="190"/>
      <c r="H69" s="164"/>
      <c r="I69" s="164">
        <v>9549222</v>
      </c>
      <c r="J69" s="164"/>
      <c r="K69" s="164"/>
      <c r="L69" s="308"/>
      <c r="M69" s="164"/>
      <c r="N69" s="164"/>
      <c r="O69" s="208"/>
      <c r="P69" s="208"/>
      <c r="Q69" s="164"/>
      <c r="R69" s="164"/>
      <c r="S69" s="164"/>
      <c r="T69" s="208">
        <v>4070089</v>
      </c>
      <c r="U69" s="208"/>
      <c r="V69" s="164"/>
      <c r="W69" s="164"/>
      <c r="X69" s="164"/>
      <c r="Y69" s="164"/>
      <c r="Z69" s="164"/>
      <c r="AA69" s="164">
        <v>15081975</v>
      </c>
      <c r="AB69" s="164"/>
      <c r="AC69" s="164"/>
      <c r="AD69" s="164"/>
      <c r="AE69" s="164"/>
      <c r="AF69" s="208"/>
      <c r="AG69" s="164"/>
      <c r="AH69" s="190"/>
      <c r="AI69" s="201">
        <f t="shared" si="1"/>
        <v>28701286</v>
      </c>
      <c r="AJ69" s="173"/>
    </row>
    <row r="70" spans="1:38">
      <c r="A70" s="162" t="s">
        <v>53</v>
      </c>
      <c r="B70" s="204"/>
      <c r="C70" s="164"/>
      <c r="D70" s="164"/>
      <c r="E70" s="164"/>
      <c r="F70" s="164"/>
      <c r="G70" s="164"/>
      <c r="H70" s="164"/>
      <c r="I70" s="164"/>
      <c r="J70" s="164"/>
      <c r="K70" s="164"/>
      <c r="L70" s="308"/>
      <c r="M70" s="164"/>
      <c r="N70" s="172"/>
      <c r="O70" s="172"/>
      <c r="P70" s="172"/>
      <c r="Q70" s="164"/>
      <c r="R70" s="164"/>
      <c r="S70" s="243"/>
      <c r="T70" s="208"/>
      <c r="U70" s="171"/>
      <c r="V70" s="177"/>
      <c r="W70" s="164"/>
      <c r="X70" s="171"/>
      <c r="Y70" s="171"/>
      <c r="Z70" s="164"/>
      <c r="AA70" s="164"/>
      <c r="AB70" s="164"/>
      <c r="AC70" s="164"/>
      <c r="AD70" s="164"/>
      <c r="AE70" s="164"/>
      <c r="AF70" s="208"/>
      <c r="AG70" s="164"/>
      <c r="AH70" s="164"/>
      <c r="AI70" s="201">
        <f t="shared" si="1"/>
        <v>0</v>
      </c>
      <c r="AJ70" s="173"/>
    </row>
    <row r="71" spans="1:38">
      <c r="A71" s="162" t="s">
        <v>54</v>
      </c>
      <c r="B71" s="204"/>
      <c r="C71" s="172"/>
      <c r="D71" s="164"/>
      <c r="E71" s="164"/>
      <c r="F71" s="164"/>
      <c r="G71" s="164"/>
      <c r="H71" s="164"/>
      <c r="I71" s="164"/>
      <c r="J71" s="164"/>
      <c r="K71" s="164"/>
      <c r="L71" s="310"/>
      <c r="M71" s="164"/>
      <c r="N71" s="164"/>
      <c r="O71" s="208"/>
      <c r="P71" s="172"/>
      <c r="Q71" s="164"/>
      <c r="R71" s="164"/>
      <c r="S71" s="164"/>
      <c r="T71" s="208"/>
      <c r="U71" s="208"/>
      <c r="V71" s="177"/>
      <c r="W71" s="172"/>
      <c r="X71" s="170"/>
      <c r="Y71" s="170"/>
      <c r="Z71" s="172"/>
      <c r="AA71" s="164"/>
      <c r="AB71" s="164"/>
      <c r="AC71" s="164"/>
      <c r="AD71" s="164"/>
      <c r="AE71" s="164"/>
      <c r="AF71" s="208"/>
      <c r="AG71" s="164"/>
      <c r="AH71" s="190"/>
      <c r="AI71" s="201">
        <f t="shared" si="1"/>
        <v>0</v>
      </c>
      <c r="AJ71" s="173">
        <v>1</v>
      </c>
    </row>
    <row r="72" spans="1:38">
      <c r="A72" s="162" t="s">
        <v>203</v>
      </c>
      <c r="B72" s="204"/>
      <c r="C72" s="172"/>
      <c r="D72" s="164"/>
      <c r="E72" s="164"/>
      <c r="F72" s="164"/>
      <c r="G72" s="164"/>
      <c r="H72" s="208"/>
      <c r="I72" s="208"/>
      <c r="J72" s="164"/>
      <c r="K72" s="164"/>
      <c r="L72" s="310"/>
      <c r="M72" s="164"/>
      <c r="N72" s="164"/>
      <c r="O72" s="208"/>
      <c r="P72" s="172"/>
      <c r="Q72" s="164"/>
      <c r="R72" s="164"/>
      <c r="S72" s="164"/>
      <c r="T72" s="208"/>
      <c r="U72" s="208"/>
      <c r="V72" s="171"/>
      <c r="W72" s="172"/>
      <c r="X72" s="170"/>
      <c r="Y72" s="170"/>
      <c r="Z72" s="172"/>
      <c r="AA72" s="164"/>
      <c r="AB72" s="164"/>
      <c r="AC72" s="164"/>
      <c r="AD72" s="164"/>
      <c r="AE72" s="208"/>
      <c r="AF72" s="208"/>
      <c r="AG72" s="164"/>
      <c r="AH72" s="190"/>
      <c r="AI72" s="201">
        <f t="shared" si="1"/>
        <v>0</v>
      </c>
      <c r="AJ72" s="173"/>
    </row>
    <row r="73" spans="1:38">
      <c r="A73" s="162" t="s">
        <v>37</v>
      </c>
      <c r="B73" s="204"/>
      <c r="C73" s="164"/>
      <c r="D73" s="171"/>
      <c r="E73" s="172"/>
      <c r="F73" s="172">
        <v>345735069</v>
      </c>
      <c r="G73" s="164"/>
      <c r="H73" s="172"/>
      <c r="I73" s="172"/>
      <c r="J73" s="164">
        <v>3817563190</v>
      </c>
      <c r="K73" s="164"/>
      <c r="L73" s="310"/>
      <c r="M73" s="164"/>
      <c r="N73" s="164">
        <v>740654388</v>
      </c>
      <c r="O73" s="208"/>
      <c r="P73" s="171"/>
      <c r="Q73" s="164">
        <v>1836762973</v>
      </c>
      <c r="R73" s="164"/>
      <c r="S73" s="164"/>
      <c r="T73" s="208"/>
      <c r="U73" s="208"/>
      <c r="V73" s="208">
        <v>4311275586</v>
      </c>
      <c r="W73" s="164"/>
      <c r="X73" s="171">
        <v>350131251</v>
      </c>
      <c r="Y73" s="171"/>
      <c r="Z73" s="164"/>
      <c r="AA73" s="171"/>
      <c r="AB73" s="172">
        <v>600695737</v>
      </c>
      <c r="AC73" s="172"/>
      <c r="AD73" s="164"/>
      <c r="AE73" s="172"/>
      <c r="AF73" s="175"/>
      <c r="AG73" s="164"/>
      <c r="AH73" s="164"/>
      <c r="AI73" s="201">
        <f t="shared" si="1"/>
        <v>12002818194</v>
      </c>
      <c r="AJ73" s="173"/>
    </row>
    <row r="74" spans="1:38">
      <c r="A74" s="162" t="s">
        <v>38</v>
      </c>
      <c r="B74" s="204"/>
      <c r="C74" s="172"/>
      <c r="D74" s="171"/>
      <c r="E74" s="172"/>
      <c r="F74" s="164"/>
      <c r="G74" s="164"/>
      <c r="H74" s="208"/>
      <c r="I74" s="208"/>
      <c r="J74" s="164">
        <v>937070339</v>
      </c>
      <c r="K74" s="172"/>
      <c r="L74" s="310"/>
      <c r="M74" s="164"/>
      <c r="N74" s="172"/>
      <c r="O74" s="172"/>
      <c r="P74" s="208"/>
      <c r="Q74" s="177"/>
      <c r="R74" s="171"/>
      <c r="S74" s="164"/>
      <c r="T74" s="171"/>
      <c r="U74" s="208"/>
      <c r="V74" s="208"/>
      <c r="W74" s="172"/>
      <c r="X74" s="171"/>
      <c r="Y74" s="171"/>
      <c r="Z74" s="172"/>
      <c r="AA74" s="171"/>
      <c r="AB74" s="172"/>
      <c r="AC74" s="164"/>
      <c r="AD74" s="164"/>
      <c r="AE74" s="208"/>
      <c r="AF74" s="171"/>
      <c r="AG74" s="170"/>
      <c r="AH74" s="170"/>
      <c r="AI74" s="201">
        <f t="shared" si="1"/>
        <v>937070339</v>
      </c>
      <c r="AJ74" s="173"/>
    </row>
    <row r="75" spans="1:38">
      <c r="A75" s="162" t="s">
        <v>540</v>
      </c>
      <c r="B75" s="204"/>
      <c r="C75" s="172">
        <v>34595147</v>
      </c>
      <c r="D75" s="171"/>
      <c r="E75" s="172"/>
      <c r="F75" s="164"/>
      <c r="G75" s="164"/>
      <c r="H75" s="208"/>
      <c r="I75" s="208"/>
      <c r="J75" s="164"/>
      <c r="K75" s="172"/>
      <c r="L75" s="208"/>
      <c r="M75" s="164"/>
      <c r="N75" s="177"/>
      <c r="O75" s="172"/>
      <c r="P75" s="208"/>
      <c r="Q75" s="177"/>
      <c r="R75" s="171"/>
      <c r="S75" s="164"/>
      <c r="T75" s="171"/>
      <c r="U75" s="208"/>
      <c r="V75" s="208"/>
      <c r="W75" s="172"/>
      <c r="X75" s="171"/>
      <c r="Y75" s="171"/>
      <c r="Z75" s="172"/>
      <c r="AA75" s="171"/>
      <c r="AB75" s="172"/>
      <c r="AC75" s="164"/>
      <c r="AD75" s="164"/>
      <c r="AE75" s="208"/>
      <c r="AF75" s="171"/>
      <c r="AG75" s="170"/>
      <c r="AH75" s="170"/>
      <c r="AI75" s="201">
        <f t="shared" si="1"/>
        <v>34595147</v>
      </c>
      <c r="AJ75" s="173"/>
    </row>
    <row r="76" spans="1:38">
      <c r="A76" s="162" t="s">
        <v>175</v>
      </c>
      <c r="B76" s="204"/>
      <c r="C76" s="172"/>
      <c r="D76" s="172"/>
      <c r="E76" s="172"/>
      <c r="F76" s="164">
        <v>2057242362</v>
      </c>
      <c r="G76" s="172">
        <v>3900817121</v>
      </c>
      <c r="H76" s="171"/>
      <c r="I76" s="208"/>
      <c r="J76" s="172">
        <v>2303342779</v>
      </c>
      <c r="K76" s="164"/>
      <c r="L76" s="171"/>
      <c r="M76" s="164"/>
      <c r="N76" s="172">
        <v>4767331520</v>
      </c>
      <c r="O76" s="172"/>
      <c r="P76" s="173"/>
      <c r="Q76" s="208">
        <v>2731121003</v>
      </c>
      <c r="R76" s="171"/>
      <c r="S76" s="164"/>
      <c r="T76" s="164"/>
      <c r="U76" s="164"/>
      <c r="V76" s="164">
        <v>3464355018</v>
      </c>
      <c r="W76" s="175"/>
      <c r="X76" s="175"/>
      <c r="Y76" s="175"/>
      <c r="Z76" s="172"/>
      <c r="AA76" s="172"/>
      <c r="AB76" s="172"/>
      <c r="AC76" s="164"/>
      <c r="AD76" s="172"/>
      <c r="AE76" s="171"/>
      <c r="AF76" s="171"/>
      <c r="AG76" s="171"/>
      <c r="AH76" s="170"/>
      <c r="AI76" s="201">
        <f t="shared" si="1"/>
        <v>19224209803</v>
      </c>
      <c r="AJ76" s="173"/>
    </row>
    <row r="77" spans="1:38">
      <c r="A77" s="162" t="s">
        <v>176</v>
      </c>
      <c r="B77" s="204"/>
      <c r="C77" s="208"/>
      <c r="D77" s="164"/>
      <c r="E77" s="172"/>
      <c r="F77" s="164"/>
      <c r="G77" s="164">
        <v>1579757538</v>
      </c>
      <c r="H77" s="208"/>
      <c r="I77" s="208"/>
      <c r="J77" s="172"/>
      <c r="K77" s="172"/>
      <c r="L77" s="208"/>
      <c r="M77" s="164"/>
      <c r="N77" s="164"/>
      <c r="O77" s="172"/>
      <c r="P77" s="208"/>
      <c r="Q77" s="164"/>
      <c r="R77" s="306"/>
      <c r="S77" s="164"/>
      <c r="T77" s="172"/>
      <c r="U77" s="171"/>
      <c r="V77" s="171"/>
      <c r="W77" s="164"/>
      <c r="X77" s="171"/>
      <c r="Y77" s="172"/>
      <c r="Z77" s="208"/>
      <c r="AA77" s="164"/>
      <c r="AB77" s="172"/>
      <c r="AC77" s="164"/>
      <c r="AD77" s="164"/>
      <c r="AE77" s="208"/>
      <c r="AF77" s="171"/>
      <c r="AG77" s="164"/>
      <c r="AH77" s="164"/>
      <c r="AI77" s="201">
        <f t="shared" si="1"/>
        <v>1579757538</v>
      </c>
      <c r="AJ77" s="173"/>
    </row>
    <row r="78" spans="1:38">
      <c r="A78" s="162" t="s">
        <v>409</v>
      </c>
      <c r="B78" s="204"/>
      <c r="C78" s="171"/>
      <c r="D78" s="171"/>
      <c r="E78" s="172"/>
      <c r="F78" s="164"/>
      <c r="G78" s="164"/>
      <c r="H78" s="309"/>
      <c r="I78" s="208"/>
      <c r="J78" s="172"/>
      <c r="K78" s="172"/>
      <c r="L78" s="208"/>
      <c r="M78" s="164"/>
      <c r="N78" s="164"/>
      <c r="O78" s="172"/>
      <c r="P78" s="208"/>
      <c r="Q78" s="164"/>
      <c r="R78" s="306"/>
      <c r="S78" s="164"/>
      <c r="T78" s="172"/>
      <c r="U78" s="171"/>
      <c r="V78" s="171"/>
      <c r="W78" s="164"/>
      <c r="X78" s="171"/>
      <c r="Y78" s="171"/>
      <c r="Z78" s="171"/>
      <c r="AA78" s="171"/>
      <c r="AB78" s="172"/>
      <c r="AC78" s="164"/>
      <c r="AD78" s="164"/>
      <c r="AE78" s="309"/>
      <c r="AF78" s="171"/>
      <c r="AG78" s="164"/>
      <c r="AH78" s="164"/>
      <c r="AI78" s="201"/>
      <c r="AJ78" s="173"/>
    </row>
    <row r="79" spans="1:38">
      <c r="A79" s="162" t="s">
        <v>202</v>
      </c>
      <c r="B79" s="204"/>
      <c r="C79" s="164">
        <v>63203043</v>
      </c>
      <c r="D79" s="164"/>
      <c r="E79" s="172"/>
      <c r="F79" s="164"/>
      <c r="G79" s="164"/>
      <c r="H79" s="306"/>
      <c r="I79" s="208"/>
      <c r="J79" s="172"/>
      <c r="K79" s="172"/>
      <c r="L79" s="208"/>
      <c r="M79" s="164"/>
      <c r="N79" s="164"/>
      <c r="O79" s="172"/>
      <c r="P79" s="208"/>
      <c r="Q79" s="164"/>
      <c r="R79" s="306"/>
      <c r="S79" s="164"/>
      <c r="T79" s="172"/>
      <c r="U79" s="171"/>
      <c r="V79" s="164"/>
      <c r="W79" s="164"/>
      <c r="X79" s="171"/>
      <c r="Y79" s="172"/>
      <c r="Z79" s="164"/>
      <c r="AA79" s="164"/>
      <c r="AB79" s="172"/>
      <c r="AC79" s="164"/>
      <c r="AD79" s="164"/>
      <c r="AE79" s="306"/>
      <c r="AF79" s="171"/>
      <c r="AG79" s="164"/>
      <c r="AH79" s="164"/>
      <c r="AI79" s="201">
        <f t="shared" si="1"/>
        <v>63203043</v>
      </c>
      <c r="AJ79" s="173"/>
    </row>
    <row r="80" spans="1:38">
      <c r="A80" s="211" t="s">
        <v>41</v>
      </c>
      <c r="B80" s="212"/>
      <c r="C80" s="213">
        <f t="shared" ref="C80:AI80" si="2">SUM(C56:C79)</f>
        <v>97798190</v>
      </c>
      <c r="D80" s="213">
        <f t="shared" si="2"/>
        <v>0</v>
      </c>
      <c r="E80" s="213">
        <f t="shared" si="2"/>
        <v>0</v>
      </c>
      <c r="F80" s="213">
        <f t="shared" si="2"/>
        <v>22748705335</v>
      </c>
      <c r="G80" s="213">
        <f t="shared" si="2"/>
        <v>5480574659</v>
      </c>
      <c r="H80" s="213">
        <f t="shared" si="2"/>
        <v>0</v>
      </c>
      <c r="I80" s="213">
        <f t="shared" si="2"/>
        <v>3950358337</v>
      </c>
      <c r="J80" s="213">
        <f t="shared" si="2"/>
        <v>7057976308</v>
      </c>
      <c r="K80" s="213">
        <f t="shared" si="2"/>
        <v>0</v>
      </c>
      <c r="L80" s="213">
        <f t="shared" si="2"/>
        <v>0</v>
      </c>
      <c r="M80" s="213">
        <f t="shared" si="2"/>
        <v>0</v>
      </c>
      <c r="N80" s="213">
        <f>SUM(N56:N79)</f>
        <v>7882399408</v>
      </c>
      <c r="O80" s="213">
        <f t="shared" si="2"/>
        <v>0</v>
      </c>
      <c r="P80" s="213">
        <f t="shared" si="2"/>
        <v>0</v>
      </c>
      <c r="Q80" s="213">
        <f t="shared" si="2"/>
        <v>4567883976</v>
      </c>
      <c r="R80" s="213">
        <f t="shared" si="2"/>
        <v>0</v>
      </c>
      <c r="S80" s="213">
        <f t="shared" si="2"/>
        <v>0</v>
      </c>
      <c r="T80" s="213">
        <f>SUM(T56:T79)</f>
        <v>7436198549</v>
      </c>
      <c r="U80" s="213">
        <f t="shared" si="2"/>
        <v>0</v>
      </c>
      <c r="V80" s="213">
        <f t="shared" si="2"/>
        <v>7775630604</v>
      </c>
      <c r="W80" s="213">
        <f t="shared" si="2"/>
        <v>0</v>
      </c>
      <c r="X80" s="213">
        <f t="shared" si="2"/>
        <v>350131251</v>
      </c>
      <c r="Y80" s="213">
        <f t="shared" si="2"/>
        <v>0</v>
      </c>
      <c r="Z80" s="213">
        <f t="shared" si="2"/>
        <v>0</v>
      </c>
      <c r="AA80" s="213">
        <f t="shared" si="2"/>
        <v>5112712030</v>
      </c>
      <c r="AB80" s="213">
        <f t="shared" si="2"/>
        <v>600695737</v>
      </c>
      <c r="AC80" s="213">
        <f t="shared" si="2"/>
        <v>12422926</v>
      </c>
      <c r="AD80" s="213">
        <f t="shared" si="2"/>
        <v>8943578709</v>
      </c>
      <c r="AE80" s="213">
        <f t="shared" si="2"/>
        <v>0</v>
      </c>
      <c r="AF80" s="213">
        <f t="shared" si="2"/>
        <v>0</v>
      </c>
      <c r="AG80" s="213">
        <f t="shared" si="2"/>
        <v>0</v>
      </c>
      <c r="AH80" s="213">
        <f t="shared" si="2"/>
        <v>0</v>
      </c>
      <c r="AI80" s="213">
        <f t="shared" si="2"/>
        <v>61526564591</v>
      </c>
      <c r="AJ80" s="154"/>
    </row>
    <row r="81" spans="1:39">
      <c r="A81" s="393" t="s">
        <v>42</v>
      </c>
      <c r="B81" s="394"/>
      <c r="C81" s="215">
        <f t="shared" ref="C81:AG81" si="3">C53+C80</f>
        <v>1814160614</v>
      </c>
      <c r="D81" s="215">
        <f t="shared" si="3"/>
        <v>0</v>
      </c>
      <c r="E81" s="216">
        <f t="shared" si="3"/>
        <v>0</v>
      </c>
      <c r="F81" s="216">
        <f t="shared" si="3"/>
        <v>24120208233</v>
      </c>
      <c r="G81" s="216">
        <f t="shared" si="3"/>
        <v>8029722889</v>
      </c>
      <c r="H81" s="216">
        <f t="shared" si="3"/>
        <v>0</v>
      </c>
      <c r="I81" s="216">
        <f t="shared" si="3"/>
        <v>3950358337</v>
      </c>
      <c r="J81" s="215">
        <f t="shared" si="3"/>
        <v>7078183331</v>
      </c>
      <c r="K81" s="215">
        <f t="shared" si="3"/>
        <v>0</v>
      </c>
      <c r="L81" s="216">
        <f t="shared" si="3"/>
        <v>0</v>
      </c>
      <c r="M81" s="216">
        <f t="shared" si="3"/>
        <v>3937618493</v>
      </c>
      <c r="N81" s="216">
        <f t="shared" si="3"/>
        <v>9006858188</v>
      </c>
      <c r="O81" s="216">
        <f t="shared" si="3"/>
        <v>0</v>
      </c>
      <c r="P81" s="216">
        <f t="shared" si="3"/>
        <v>0</v>
      </c>
      <c r="Q81" s="216">
        <f t="shared" si="3"/>
        <v>5185087579</v>
      </c>
      <c r="R81" s="216">
        <f t="shared" si="3"/>
        <v>0</v>
      </c>
      <c r="S81" s="216">
        <f t="shared" si="3"/>
        <v>0</v>
      </c>
      <c r="T81" s="216">
        <f t="shared" si="3"/>
        <v>9575316083</v>
      </c>
      <c r="U81" s="216">
        <f t="shared" si="3"/>
        <v>325244030</v>
      </c>
      <c r="V81" s="216">
        <f t="shared" si="3"/>
        <v>7862504827</v>
      </c>
      <c r="W81" s="216">
        <f t="shared" si="3"/>
        <v>0</v>
      </c>
      <c r="X81" s="216">
        <f t="shared" si="3"/>
        <v>350631680</v>
      </c>
      <c r="Y81" s="216">
        <f t="shared" si="3"/>
        <v>0</v>
      </c>
      <c r="Z81" s="216">
        <f t="shared" si="3"/>
        <v>0</v>
      </c>
      <c r="AA81" s="216">
        <f t="shared" si="3"/>
        <v>5624852286</v>
      </c>
      <c r="AB81" s="216">
        <f t="shared" si="3"/>
        <v>639344977</v>
      </c>
      <c r="AC81" s="216">
        <f t="shared" si="3"/>
        <v>119364225</v>
      </c>
      <c r="AD81" s="216">
        <f t="shared" si="3"/>
        <v>9269388750</v>
      </c>
      <c r="AE81" s="216">
        <f t="shared" si="3"/>
        <v>438197654</v>
      </c>
      <c r="AF81" s="216">
        <f t="shared" si="3"/>
        <v>9552978955</v>
      </c>
      <c r="AG81" s="216">
        <f t="shared" si="3"/>
        <v>0</v>
      </c>
      <c r="AH81" s="216"/>
      <c r="AI81" s="216">
        <f>SUM(C81:AG81)</f>
        <v>106880021131</v>
      </c>
    </row>
    <row r="83" spans="1:39">
      <c r="A83" s="150" t="s">
        <v>50</v>
      </c>
      <c r="C83" s="248"/>
      <c r="D83" s="292"/>
      <c r="E83" s="248"/>
      <c r="F83" s="248"/>
      <c r="G83" s="248"/>
      <c r="H83" s="248"/>
      <c r="I83" s="248">
        <v>16391884159</v>
      </c>
      <c r="J83" s="248">
        <v>15565776712</v>
      </c>
      <c r="K83" s="292"/>
      <c r="L83" s="248"/>
      <c r="M83" s="248"/>
      <c r="N83" s="248">
        <v>12028504334</v>
      </c>
      <c r="O83" s="248"/>
      <c r="P83" s="248"/>
      <c r="Q83" s="248">
        <v>14752797054</v>
      </c>
      <c r="R83" s="248"/>
      <c r="S83" s="248"/>
      <c r="T83" s="248">
        <v>17159593812</v>
      </c>
      <c r="U83" s="248"/>
      <c r="V83" s="248"/>
      <c r="W83" s="248"/>
      <c r="X83" s="248"/>
      <c r="Y83" s="248"/>
      <c r="Z83" s="248"/>
      <c r="AA83" s="248"/>
      <c r="AB83" s="293">
        <v>23309175417</v>
      </c>
      <c r="AC83" s="248"/>
      <c r="AD83" s="248"/>
      <c r="AE83" s="248">
        <v>25594545016</v>
      </c>
      <c r="AF83" s="248"/>
      <c r="AG83" s="248"/>
      <c r="AH83" s="248"/>
      <c r="AI83" s="228"/>
      <c r="AJ83" s="228"/>
    </row>
    <row r="84" spans="1:39">
      <c r="A84" s="150" t="s">
        <v>139</v>
      </c>
      <c r="C84" s="294"/>
      <c r="D84" s="295"/>
      <c r="E84" s="296"/>
      <c r="F84" s="248"/>
      <c r="G84" s="296"/>
      <c r="H84" s="248"/>
      <c r="I84" s="296"/>
      <c r="J84" s="248">
        <f>J83-J81</f>
        <v>8487593381</v>
      </c>
      <c r="K84" s="297"/>
      <c r="L84" s="296"/>
      <c r="M84" s="293"/>
      <c r="N84" s="293">
        <f>N83-N81</f>
        <v>3021646146</v>
      </c>
      <c r="O84" s="293"/>
      <c r="P84" s="293"/>
      <c r="Q84" s="293">
        <f>Q83-Q81</f>
        <v>9567709475</v>
      </c>
      <c r="R84" s="293"/>
      <c r="S84" s="293"/>
      <c r="T84" s="293">
        <f>T83-T81</f>
        <v>7584277729</v>
      </c>
      <c r="U84" s="293"/>
      <c r="V84" s="293"/>
      <c r="W84" s="296"/>
      <c r="X84" s="248"/>
      <c r="Y84" s="296"/>
      <c r="Z84" s="248"/>
      <c r="AA84" s="248"/>
      <c r="AB84" s="293"/>
      <c r="AC84" s="296"/>
      <c r="AD84" s="296"/>
      <c r="AE84" s="296">
        <f>AE83-AE81</f>
        <v>25156347362</v>
      </c>
      <c r="AF84" s="296"/>
      <c r="AG84" s="296"/>
      <c r="AH84" s="296"/>
      <c r="AI84" s="296"/>
      <c r="AJ84" s="228"/>
    </row>
    <row r="85" spans="1:39">
      <c r="A85" s="150" t="s">
        <v>181</v>
      </c>
      <c r="C85" s="248"/>
      <c r="D85" s="295"/>
      <c r="E85" s="248"/>
      <c r="F85" s="248"/>
      <c r="G85" s="248"/>
      <c r="H85" s="248"/>
      <c r="I85" s="248"/>
      <c r="J85" s="248"/>
      <c r="K85" s="297"/>
      <c r="L85" s="248"/>
      <c r="M85" s="248"/>
      <c r="N85" s="248"/>
      <c r="O85" s="293"/>
      <c r="P85" s="248"/>
      <c r="Q85" s="248"/>
      <c r="R85" s="296"/>
      <c r="S85" s="248"/>
      <c r="T85" s="248">
        <v>2000000000</v>
      </c>
      <c r="U85" s="248"/>
      <c r="V85" s="248"/>
      <c r="W85" s="248"/>
      <c r="X85" s="248"/>
      <c r="Y85" s="293"/>
      <c r="Z85" s="248"/>
      <c r="AA85" s="248"/>
      <c r="AB85" s="248"/>
      <c r="AC85" s="248"/>
      <c r="AD85" s="293"/>
      <c r="AE85" s="248"/>
      <c r="AF85" s="248"/>
      <c r="AG85" s="248"/>
      <c r="AH85" s="248"/>
      <c r="AI85" s="296"/>
      <c r="AJ85" s="228"/>
    </row>
    <row r="86" spans="1:39">
      <c r="A86" s="150" t="s">
        <v>654</v>
      </c>
      <c r="C86" s="248"/>
      <c r="D86" s="295"/>
      <c r="E86" s="248"/>
      <c r="F86" s="248"/>
      <c r="G86" s="248"/>
      <c r="H86" s="248"/>
      <c r="I86" s="248"/>
      <c r="J86" s="292"/>
      <c r="K86" s="292"/>
      <c r="L86" s="248"/>
      <c r="M86" s="248"/>
      <c r="N86" s="248"/>
      <c r="O86" s="248"/>
      <c r="P86" s="248"/>
      <c r="Q86" s="248"/>
      <c r="R86" s="248"/>
      <c r="S86" s="248"/>
      <c r="T86" s="248">
        <f>T84+T85</f>
        <v>9584277729</v>
      </c>
      <c r="U86" s="248"/>
      <c r="V86" s="248"/>
      <c r="W86" s="248"/>
      <c r="X86" s="248"/>
      <c r="Y86" s="293"/>
      <c r="Z86" s="296"/>
      <c r="AA86" s="296"/>
      <c r="AB86" s="248"/>
      <c r="AC86" s="248"/>
      <c r="AD86" s="296"/>
      <c r="AE86" s="296"/>
      <c r="AF86" s="296"/>
      <c r="AG86" s="296"/>
      <c r="AH86" s="296"/>
      <c r="AI86" s="296"/>
      <c r="AJ86" s="228"/>
    </row>
    <row r="87" spans="1:39">
      <c r="A87" s="150" t="s">
        <v>407</v>
      </c>
      <c r="C87" s="297"/>
      <c r="D87" s="297"/>
      <c r="E87" s="248"/>
      <c r="F87" s="248"/>
      <c r="G87" s="228"/>
      <c r="H87" s="293"/>
      <c r="I87" s="248"/>
      <c r="J87" s="292"/>
      <c r="K87" s="297"/>
      <c r="L87" s="248"/>
      <c r="M87" s="248"/>
      <c r="N87" s="248"/>
      <c r="O87" s="296"/>
      <c r="P87" s="248"/>
      <c r="Q87" s="296"/>
      <c r="R87" s="293"/>
      <c r="S87" s="296"/>
      <c r="T87" s="296"/>
      <c r="U87" s="248"/>
      <c r="V87" s="248"/>
      <c r="W87" s="293"/>
      <c r="X87" s="248"/>
      <c r="Y87" s="296"/>
      <c r="Z87" s="296"/>
      <c r="AA87" s="296"/>
      <c r="AB87" s="248"/>
      <c r="AC87" s="228"/>
      <c r="AD87" s="228"/>
      <c r="AE87" s="228"/>
      <c r="AF87" s="228"/>
      <c r="AG87" s="248"/>
      <c r="AH87" s="248"/>
      <c r="AI87" s="228"/>
      <c r="AJ87" s="296"/>
    </row>
    <row r="88" spans="1:39">
      <c r="C88" s="193"/>
      <c r="F88" s="154"/>
      <c r="I88" s="219"/>
      <c r="K88" s="218"/>
      <c r="L88" s="154"/>
      <c r="R88" s="217"/>
      <c r="S88" s="219"/>
      <c r="V88" s="154"/>
      <c r="W88" s="219"/>
      <c r="X88" s="219"/>
      <c r="AD88" s="398" t="s">
        <v>686</v>
      </c>
      <c r="AE88" s="398"/>
      <c r="AF88" s="398"/>
    </row>
    <row r="89" spans="1:39">
      <c r="L89" s="154"/>
      <c r="Y89" s="154"/>
      <c r="AD89" s="284" t="s">
        <v>443</v>
      </c>
      <c r="AE89" s="285" t="s">
        <v>444</v>
      </c>
      <c r="AF89" s="284" t="s">
        <v>445</v>
      </c>
      <c r="AG89" s="283"/>
      <c r="AH89" s="222"/>
      <c r="AI89" s="169"/>
      <c r="AJ89" s="176"/>
    </row>
    <row r="90" spans="1:39">
      <c r="C90" s="150"/>
      <c r="D90" s="150"/>
      <c r="F90" s="395" t="s">
        <v>481</v>
      </c>
      <c r="G90" s="395"/>
      <c r="H90" s="395" t="s">
        <v>481</v>
      </c>
      <c r="I90" s="395"/>
      <c r="J90" s="395" t="s">
        <v>481</v>
      </c>
      <c r="K90" s="395"/>
      <c r="L90" s="395" t="s">
        <v>481</v>
      </c>
      <c r="M90" s="395"/>
      <c r="P90" s="298" t="s">
        <v>430</v>
      </c>
      <c r="Q90" s="298"/>
      <c r="R90" s="395" t="s">
        <v>481</v>
      </c>
      <c r="S90" s="395"/>
      <c r="T90" s="395"/>
      <c r="AD90" s="169" t="s">
        <v>463</v>
      </c>
      <c r="AE90" s="176" t="s">
        <v>687</v>
      </c>
      <c r="AF90" s="176">
        <v>1990000</v>
      </c>
      <c r="AG90" s="222"/>
      <c r="AH90" s="222"/>
      <c r="AI90" s="169"/>
      <c r="AJ90" s="176"/>
    </row>
    <row r="91" spans="1:39" ht="13.5" customHeight="1">
      <c r="F91" s="395" t="s">
        <v>482</v>
      </c>
      <c r="G91" s="395"/>
      <c r="H91" s="395" t="s">
        <v>504</v>
      </c>
      <c r="I91" s="395"/>
      <c r="J91" s="395" t="s">
        <v>508</v>
      </c>
      <c r="K91" s="395"/>
      <c r="L91" s="395" t="s">
        <v>546</v>
      </c>
      <c r="M91" s="395"/>
      <c r="O91" s="150" t="s">
        <v>375</v>
      </c>
      <c r="P91" s="299">
        <v>44635</v>
      </c>
      <c r="Q91" s="299"/>
      <c r="R91" s="402" t="s">
        <v>684</v>
      </c>
      <c r="S91" s="402"/>
      <c r="T91" s="402"/>
      <c r="U91" s="185"/>
      <c r="AA91" s="150" t="s">
        <v>111</v>
      </c>
      <c r="AD91" s="162" t="s">
        <v>688</v>
      </c>
      <c r="AE91" s="313" t="s">
        <v>689</v>
      </c>
      <c r="AF91" s="314">
        <v>975000</v>
      </c>
      <c r="AG91" s="222"/>
      <c r="AH91" s="222"/>
      <c r="AI91" s="169"/>
      <c r="AJ91" s="176"/>
    </row>
    <row r="92" spans="1:39">
      <c r="C92" s="150"/>
      <c r="D92" s="150"/>
      <c r="F92" s="169"/>
      <c r="G92" s="176"/>
      <c r="H92" s="154"/>
      <c r="J92" s="169"/>
      <c r="K92" s="176"/>
      <c r="L92" s="169"/>
      <c r="M92" s="176"/>
      <c r="N92" s="247"/>
      <c r="O92" s="247"/>
      <c r="P92" s="250"/>
      <c r="Q92" s="250"/>
      <c r="R92" s="250" t="s">
        <v>230</v>
      </c>
      <c r="S92" s="250" t="s">
        <v>445</v>
      </c>
      <c r="T92" s="250" t="s">
        <v>233</v>
      </c>
      <c r="U92" s="247"/>
      <c r="V92" s="247"/>
      <c r="W92" s="226"/>
      <c r="X92" s="176"/>
      <c r="Y92" s="248"/>
      <c r="Z92" s="154"/>
      <c r="AD92" s="169" t="s">
        <v>560</v>
      </c>
      <c r="AE92" s="176" t="s">
        <v>690</v>
      </c>
      <c r="AF92" s="176">
        <v>500000</v>
      </c>
      <c r="AI92" s="169"/>
      <c r="AJ92" s="176"/>
    </row>
    <row r="93" spans="1:39">
      <c r="C93" s="150"/>
      <c r="D93" s="150"/>
      <c r="F93" s="169"/>
      <c r="G93" s="176"/>
      <c r="H93" s="154"/>
      <c r="I93" s="154"/>
      <c r="J93" s="169"/>
      <c r="K93" s="176"/>
      <c r="L93" s="169"/>
      <c r="M93" s="176"/>
      <c r="O93" s="228"/>
      <c r="P93" s="333"/>
      <c r="Q93" s="333"/>
      <c r="R93" s="331" t="s">
        <v>620</v>
      </c>
      <c r="S93" s="331">
        <v>1184925</v>
      </c>
      <c r="T93" s="330" t="s">
        <v>680</v>
      </c>
      <c r="U93" s="228"/>
      <c r="V93" s="229"/>
      <c r="W93" s="169"/>
      <c r="X93" s="176"/>
      <c r="Y93" s="154"/>
      <c r="Z93" s="154"/>
      <c r="AD93" s="169" t="s">
        <v>594</v>
      </c>
      <c r="AE93" s="176" t="s">
        <v>691</v>
      </c>
      <c r="AF93" s="176">
        <v>2430000</v>
      </c>
      <c r="AI93" s="169"/>
      <c r="AJ93" s="176"/>
    </row>
    <row r="94" spans="1:39">
      <c r="C94" s="150"/>
      <c r="D94" s="150"/>
      <c r="F94" s="169"/>
      <c r="G94" s="176"/>
      <c r="H94" s="154"/>
      <c r="I94" s="154"/>
      <c r="J94" s="169"/>
      <c r="K94" s="176"/>
      <c r="L94" s="169"/>
      <c r="M94" s="176"/>
      <c r="O94" s="228"/>
      <c r="P94" s="333"/>
      <c r="Q94" s="333"/>
      <c r="R94" s="331" t="s">
        <v>620</v>
      </c>
      <c r="S94" s="331">
        <v>2673000</v>
      </c>
      <c r="T94" s="330" t="s">
        <v>681</v>
      </c>
      <c r="U94" s="228"/>
      <c r="V94" s="229"/>
      <c r="W94" s="169"/>
      <c r="X94" s="176"/>
      <c r="Y94" s="154"/>
      <c r="Z94" s="154"/>
      <c r="AD94" s="169" t="s">
        <v>466</v>
      </c>
      <c r="AE94" s="176" t="s">
        <v>692</v>
      </c>
      <c r="AF94" s="176">
        <v>381004</v>
      </c>
      <c r="AI94" s="169"/>
      <c r="AJ94" s="176"/>
    </row>
    <row r="95" spans="1:39">
      <c r="C95" s="150"/>
      <c r="D95" s="150"/>
      <c r="F95" s="169"/>
      <c r="G95" s="176"/>
      <c r="H95" s="154"/>
      <c r="I95" s="154"/>
      <c r="J95" s="169"/>
      <c r="K95" s="176"/>
      <c r="L95" s="169"/>
      <c r="M95" s="176"/>
      <c r="O95" s="228"/>
      <c r="P95" s="333"/>
      <c r="Q95" s="333"/>
      <c r="R95" s="331" t="s">
        <v>682</v>
      </c>
      <c r="S95" s="331">
        <v>436000</v>
      </c>
      <c r="T95" s="330" t="s">
        <v>683</v>
      </c>
      <c r="U95" s="228"/>
      <c r="V95" s="229"/>
      <c r="W95" s="169"/>
      <c r="X95" s="272"/>
      <c r="Y95" s="154"/>
      <c r="Z95" s="154"/>
      <c r="AC95" s="150" t="s">
        <v>111</v>
      </c>
      <c r="AD95" s="169" t="s">
        <v>468</v>
      </c>
      <c r="AE95" s="176" t="s">
        <v>691</v>
      </c>
      <c r="AF95" s="176">
        <v>870000</v>
      </c>
      <c r="AI95" s="169"/>
      <c r="AJ95" s="176"/>
    </row>
    <row r="96" spans="1:39">
      <c r="C96" s="150"/>
      <c r="D96" s="150"/>
      <c r="F96" s="169"/>
      <c r="G96" s="176"/>
      <c r="I96" s="154"/>
      <c r="J96" s="169"/>
      <c r="K96" s="176"/>
      <c r="L96" s="169"/>
      <c r="M96" s="176"/>
      <c r="N96" s="247"/>
      <c r="O96" s="247"/>
      <c r="P96" s="250"/>
      <c r="Q96" s="250"/>
      <c r="R96" s="331"/>
      <c r="S96" s="331"/>
      <c r="T96" s="331"/>
      <c r="U96" s="247"/>
      <c r="V96" s="247"/>
      <c r="W96" s="226"/>
      <c r="X96" s="169"/>
      <c r="Y96" s="248"/>
      <c r="Z96" s="248"/>
      <c r="AD96" s="169" t="s">
        <v>474</v>
      </c>
      <c r="AE96" s="176" t="s">
        <v>690</v>
      </c>
      <c r="AF96" s="176">
        <v>500000</v>
      </c>
      <c r="AI96" s="169"/>
      <c r="AJ96" s="176"/>
      <c r="AM96" s="150" t="s">
        <v>111</v>
      </c>
    </row>
    <row r="97" spans="3:42">
      <c r="D97" s="193"/>
      <c r="E97" s="154"/>
      <c r="G97" s="154"/>
      <c r="H97" s="154"/>
      <c r="I97" s="154"/>
      <c r="J97" s="193"/>
      <c r="K97" s="193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W97" s="248"/>
      <c r="X97" s="248"/>
      <c r="Y97" s="248"/>
      <c r="Z97" s="248"/>
      <c r="AA97" s="154"/>
      <c r="AD97" s="169"/>
      <c r="AE97" s="176"/>
      <c r="AF97" s="169"/>
      <c r="AJ97" s="154"/>
    </row>
    <row r="98" spans="3:42">
      <c r="D98" s="193"/>
      <c r="E98" s="154"/>
      <c r="G98" s="154"/>
      <c r="H98" s="154">
        <v>158340504</v>
      </c>
      <c r="I98" s="154">
        <v>220319460</v>
      </c>
      <c r="J98" s="193">
        <v>680719460</v>
      </c>
      <c r="K98" s="193">
        <v>3539018910</v>
      </c>
      <c r="L98" s="193"/>
      <c r="M98" s="193"/>
      <c r="N98" s="154"/>
      <c r="O98" s="154"/>
      <c r="P98" s="154"/>
      <c r="Q98" s="154"/>
      <c r="R98" s="154"/>
      <c r="S98" s="154"/>
      <c r="T98" s="154"/>
      <c r="U98" s="154"/>
      <c r="W98" s="154"/>
      <c r="X98" s="154"/>
      <c r="Y98" s="154"/>
      <c r="Z98" s="154"/>
      <c r="AA98" s="154"/>
      <c r="AD98" s="192" t="s">
        <v>241</v>
      </c>
      <c r="AE98" s="227"/>
      <c r="AF98" s="272">
        <f>SUM(AF90:AF97)</f>
        <v>7646004</v>
      </c>
      <c r="AJ98" s="154"/>
      <c r="AL98" s="150" t="s">
        <v>112</v>
      </c>
    </row>
    <row r="99" spans="3:42">
      <c r="D99" s="193"/>
      <c r="E99" s="154"/>
      <c r="H99" s="154" t="e">
        <f ca="1">[3]!terbilang(H98)</f>
        <v>#NAME?</v>
      </c>
      <c r="I99" s="154" t="e">
        <f ca="1">[3]!terbilang(I98)</f>
        <v>#NAME?</v>
      </c>
      <c r="J99" s="154" t="e">
        <f ca="1">[3]!terbilang(J98)</f>
        <v>#NAME?</v>
      </c>
      <c r="K99" s="154" t="e">
        <f ca="1">[3]!terbilang(K98)</f>
        <v>#NAME?</v>
      </c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W99" s="248"/>
      <c r="X99" s="248"/>
      <c r="Y99" s="248"/>
      <c r="Z99" s="248"/>
      <c r="AA99" s="154"/>
      <c r="AG99" s="154">
        <v>202787778</v>
      </c>
      <c r="AH99" s="154">
        <v>168013836</v>
      </c>
      <c r="AI99" s="154">
        <v>88797176</v>
      </c>
      <c r="AJ99" s="154">
        <v>287208700</v>
      </c>
      <c r="AP99" s="150" t="s">
        <v>108</v>
      </c>
    </row>
    <row r="100" spans="3:42">
      <c r="D100" s="193"/>
      <c r="E100" s="154"/>
      <c r="H100" s="154">
        <v>4585722587</v>
      </c>
      <c r="I100" s="154">
        <v>4863360703</v>
      </c>
      <c r="J100" s="182">
        <v>1775474953</v>
      </c>
      <c r="K100" s="193"/>
      <c r="L100" s="193"/>
      <c r="M100" s="193"/>
      <c r="N100" s="154"/>
      <c r="O100" s="154"/>
      <c r="P100" s="154"/>
      <c r="Q100" s="154"/>
      <c r="R100" s="154"/>
      <c r="S100" s="154"/>
      <c r="T100" s="154"/>
      <c r="U100" s="154"/>
      <c r="W100" s="154"/>
      <c r="X100" s="154"/>
      <c r="Y100" s="154"/>
      <c r="Z100" s="154"/>
      <c r="AA100" s="154"/>
      <c r="AD100" s="150" t="s">
        <v>415</v>
      </c>
      <c r="AF100" s="154">
        <v>1000000000</v>
      </c>
      <c r="AG100" s="154" t="e">
        <f ca="1">[3]!terbilang(AG99)</f>
        <v>#NAME?</v>
      </c>
      <c r="AH100" s="154" t="e">
        <f ca="1">[3]!terbilang(AH99)</f>
        <v>#NAME?</v>
      </c>
      <c r="AI100" s="154" t="e">
        <f ca="1">[3]!terbilang(AI99)</f>
        <v>#NAME?</v>
      </c>
      <c r="AJ100" s="154" t="e">
        <f ca="1">[3]!terbilang(AJ99)</f>
        <v>#NAME?</v>
      </c>
    </row>
    <row r="101" spans="3:42">
      <c r="C101" s="150"/>
      <c r="D101" s="154"/>
      <c r="E101" s="154"/>
      <c r="H101" s="154" t="e">
        <f ca="1">[3]!terbilang(H100)</f>
        <v>#NAME?</v>
      </c>
      <c r="I101" s="154" t="e">
        <f ca="1">[3]!terbilang(I100)</f>
        <v>#NAME?</v>
      </c>
      <c r="J101" s="154" t="e">
        <f ca="1">[3]!terbilang(J100)</f>
        <v>#NAME?</v>
      </c>
      <c r="K101" s="154" t="e">
        <f ca="1">[3]!terbilang(K100)</f>
        <v>#NAME?</v>
      </c>
      <c r="L101" s="154" t="e">
        <f ca="1">[3]!terbilang(L100)</f>
        <v>#NAME?</v>
      </c>
      <c r="M101" s="154"/>
      <c r="N101" s="154"/>
      <c r="O101" s="154"/>
      <c r="P101" s="154"/>
      <c r="Q101" s="154"/>
      <c r="R101" s="154"/>
      <c r="S101" s="154"/>
      <c r="T101" s="154"/>
      <c r="U101" s="154"/>
      <c r="W101" s="248"/>
      <c r="X101" s="154"/>
      <c r="Y101" s="154"/>
      <c r="Z101" s="154"/>
      <c r="AA101" s="154"/>
      <c r="AE101" s="154">
        <v>160312320</v>
      </c>
      <c r="AF101" s="154" t="e">
        <f ca="1">[3]!terbilang(AF100)</f>
        <v>#NAME?</v>
      </c>
      <c r="AG101" s="154"/>
      <c r="AH101" s="154"/>
      <c r="AI101" s="154"/>
      <c r="AJ101" s="154"/>
    </row>
    <row r="102" spans="3:42">
      <c r="C102" s="150"/>
      <c r="D102" s="154"/>
      <c r="E102" s="154"/>
      <c r="G102" s="154"/>
      <c r="H102" s="154"/>
      <c r="I102" s="154"/>
      <c r="J102" s="193"/>
      <c r="K102" s="193"/>
      <c r="L102" s="193"/>
      <c r="M102" s="193"/>
      <c r="N102" s="193"/>
      <c r="O102" s="193"/>
      <c r="P102" s="193"/>
      <c r="Q102" s="154"/>
      <c r="R102" s="154"/>
      <c r="S102" s="154"/>
      <c r="T102" s="154"/>
      <c r="U102" s="154"/>
      <c r="W102" s="154"/>
      <c r="X102" s="154"/>
      <c r="Y102" s="154"/>
      <c r="Z102" s="154"/>
      <c r="AA102" s="154"/>
      <c r="AE102" s="154" t="e">
        <f ca="1">[3]!terbilang(AE101)</f>
        <v>#NAME?</v>
      </c>
      <c r="AF102" s="154"/>
      <c r="AG102" s="154"/>
      <c r="AH102" s="154"/>
      <c r="AI102" s="154"/>
      <c r="AJ102" s="154" t="s">
        <v>111</v>
      </c>
    </row>
    <row r="103" spans="3:42">
      <c r="C103" s="150"/>
      <c r="D103" s="154"/>
      <c r="E103" s="154"/>
      <c r="G103" s="154"/>
      <c r="H103" s="154"/>
      <c r="I103" s="154"/>
      <c r="J103" s="193"/>
      <c r="K103" s="193"/>
      <c r="L103" s="193"/>
      <c r="M103" s="193"/>
      <c r="N103" s="193"/>
      <c r="O103" s="193"/>
      <c r="P103" s="193"/>
      <c r="Q103" s="154"/>
      <c r="R103" s="154"/>
      <c r="S103" s="154"/>
      <c r="T103" s="154"/>
      <c r="U103" s="154"/>
      <c r="W103" s="154"/>
      <c r="X103" s="154"/>
      <c r="Y103" s="154"/>
      <c r="Z103" s="154"/>
      <c r="AA103" s="154"/>
      <c r="AE103" s="154"/>
      <c r="AF103" s="154"/>
      <c r="AG103" s="154"/>
      <c r="AH103" s="154"/>
      <c r="AI103" s="154"/>
      <c r="AJ103" s="154"/>
    </row>
    <row r="104" spans="3:42">
      <c r="C104" s="150"/>
      <c r="D104" s="154"/>
      <c r="E104" s="154"/>
      <c r="G104" s="154"/>
      <c r="H104" s="154"/>
      <c r="I104" s="154"/>
      <c r="J104" s="193"/>
      <c r="K104" s="193"/>
      <c r="L104" s="193"/>
      <c r="M104" s="193"/>
      <c r="N104" s="193"/>
      <c r="O104" s="193"/>
      <c r="P104" s="193"/>
      <c r="Q104" s="154"/>
      <c r="R104" s="154"/>
      <c r="S104" s="154"/>
      <c r="T104" s="154"/>
      <c r="U104" s="154"/>
      <c r="W104" s="154"/>
      <c r="X104" s="154"/>
      <c r="Y104" s="154"/>
      <c r="Z104" s="154"/>
      <c r="AA104" s="154"/>
      <c r="AE104" s="154"/>
      <c r="AF104" s="154"/>
      <c r="AG104" s="154"/>
      <c r="AH104" s="154"/>
      <c r="AI104" s="154"/>
      <c r="AJ104" s="154"/>
    </row>
    <row r="105" spans="3:42">
      <c r="C105" s="150"/>
      <c r="D105" s="154"/>
      <c r="E105" s="154"/>
      <c r="G105" s="154"/>
      <c r="H105" s="154"/>
      <c r="I105" s="154" t="s">
        <v>111</v>
      </c>
      <c r="J105" s="193">
        <v>3644000</v>
      </c>
      <c r="K105" s="193"/>
      <c r="L105" s="193"/>
      <c r="M105" s="193"/>
      <c r="N105" s="193"/>
      <c r="O105" s="193"/>
      <c r="P105" s="193"/>
      <c r="Q105" s="154"/>
      <c r="R105" s="154"/>
      <c r="S105" s="154"/>
      <c r="T105" s="154"/>
      <c r="U105" s="154"/>
      <c r="W105" s="154"/>
      <c r="X105" s="154"/>
      <c r="Y105" s="154"/>
      <c r="Z105" s="154"/>
      <c r="AA105" s="154"/>
      <c r="AE105" s="154"/>
      <c r="AF105" s="154"/>
      <c r="AG105" s="154"/>
      <c r="AH105" s="154"/>
      <c r="AI105" s="154"/>
      <c r="AJ105" s="154"/>
    </row>
    <row r="106" spans="3:42">
      <c r="C106" s="150"/>
      <c r="D106" s="154"/>
      <c r="E106" s="154"/>
      <c r="G106" s="154"/>
      <c r="H106" s="154"/>
      <c r="I106" s="154"/>
      <c r="J106" s="193">
        <v>9786724</v>
      </c>
      <c r="K106" s="193"/>
      <c r="L106" s="193"/>
      <c r="M106" s="193"/>
      <c r="N106" s="193"/>
      <c r="O106" s="193"/>
      <c r="P106" s="193"/>
      <c r="Q106" s="154"/>
      <c r="R106" s="154"/>
      <c r="S106" s="154"/>
      <c r="T106" s="154"/>
      <c r="U106" s="154"/>
      <c r="W106" s="154"/>
      <c r="X106" s="154"/>
      <c r="Y106" s="154"/>
      <c r="Z106" s="154"/>
      <c r="AA106" s="154"/>
      <c r="AE106" s="154"/>
      <c r="AF106" s="154"/>
      <c r="AG106" s="154"/>
      <c r="AH106" s="154"/>
      <c r="AI106" s="154"/>
      <c r="AJ106" s="154"/>
    </row>
    <row r="107" spans="3:42">
      <c r="C107" s="150"/>
      <c r="D107" s="154"/>
      <c r="E107" s="154"/>
      <c r="G107" s="154"/>
      <c r="H107" s="154"/>
      <c r="I107" s="154"/>
      <c r="J107" s="193">
        <v>70128085</v>
      </c>
      <c r="K107" s="193"/>
      <c r="L107" s="193"/>
      <c r="M107" s="193"/>
      <c r="N107" s="193"/>
      <c r="O107" s="193"/>
      <c r="P107" s="193"/>
      <c r="Q107" s="154"/>
      <c r="R107" s="154"/>
      <c r="S107" s="154"/>
      <c r="T107" s="154"/>
      <c r="U107" s="154" t="s">
        <v>111</v>
      </c>
      <c r="W107" s="154"/>
      <c r="X107" s="154"/>
      <c r="Y107" s="154"/>
      <c r="Z107" s="154"/>
      <c r="AA107" s="154"/>
      <c r="AC107" s="150" t="s">
        <v>111</v>
      </c>
      <c r="AE107" s="154"/>
      <c r="AF107" s="154"/>
      <c r="AG107" s="154"/>
      <c r="AH107" s="154"/>
      <c r="AI107" s="154"/>
      <c r="AJ107" s="154"/>
    </row>
    <row r="108" spans="3:42">
      <c r="C108" s="150"/>
      <c r="D108" s="154"/>
      <c r="E108" s="154"/>
      <c r="G108" s="154"/>
      <c r="H108" s="154"/>
      <c r="I108" s="154"/>
      <c r="J108" s="193">
        <v>196049318</v>
      </c>
      <c r="K108" s="193"/>
      <c r="L108" s="193"/>
      <c r="M108" s="193"/>
      <c r="N108" s="193"/>
      <c r="O108" s="193"/>
      <c r="P108" s="193"/>
      <c r="Q108" s="154"/>
      <c r="R108" s="154"/>
      <c r="S108" s="154"/>
      <c r="T108" s="154"/>
      <c r="U108" s="154"/>
      <c r="W108" s="154"/>
      <c r="X108" s="154"/>
      <c r="Y108" s="154"/>
      <c r="Z108" s="154"/>
      <c r="AA108" s="154"/>
      <c r="AE108" s="154"/>
      <c r="AF108" s="154"/>
      <c r="AG108" s="154"/>
      <c r="AH108" s="154"/>
      <c r="AI108" s="154"/>
      <c r="AJ108" s="154"/>
    </row>
    <row r="109" spans="3:42">
      <c r="C109" s="150"/>
      <c r="D109" s="154" t="s">
        <v>111</v>
      </c>
      <c r="E109" s="154"/>
      <c r="G109" s="154"/>
      <c r="H109" s="154"/>
      <c r="I109" s="154"/>
      <c r="J109" s="193">
        <v>11409138</v>
      </c>
      <c r="K109" s="193"/>
      <c r="L109" s="193"/>
      <c r="M109" s="193"/>
      <c r="N109" s="193"/>
      <c r="O109" s="193"/>
      <c r="P109" s="193"/>
      <c r="Q109" s="154"/>
      <c r="R109" s="154"/>
      <c r="S109" s="154"/>
      <c r="T109" s="154"/>
      <c r="U109" s="154"/>
      <c r="W109" s="154"/>
      <c r="X109" s="154"/>
      <c r="Y109" s="154"/>
      <c r="Z109" s="154"/>
      <c r="AA109" s="154"/>
      <c r="AB109" s="150" t="s">
        <v>111</v>
      </c>
      <c r="AD109" s="150" t="s">
        <v>108</v>
      </c>
      <c r="AE109" s="154"/>
      <c r="AF109" s="154"/>
      <c r="AG109" s="154"/>
      <c r="AH109" s="154"/>
      <c r="AI109" s="154"/>
      <c r="AJ109" s="154"/>
    </row>
    <row r="110" spans="3:42">
      <c r="D110" s="193"/>
      <c r="F110" s="219"/>
      <c r="G110" s="154" t="e">
        <f ca="1">[3]!terbilang(G102)</f>
        <v>#NAME?</v>
      </c>
      <c r="H110" s="154">
        <v>8859000</v>
      </c>
      <c r="I110" s="154" t="e">
        <f ca="1">[3]!terbilang(I102)</f>
        <v>#NAME?</v>
      </c>
      <c r="J110" s="154">
        <v>57188986</v>
      </c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W110" s="154"/>
      <c r="X110" s="154"/>
      <c r="Y110" s="248" t="e">
        <f ca="1">[3]!terbilang(Y100)</f>
        <v>#NAME?</v>
      </c>
      <c r="Z110" s="154" t="s">
        <v>111</v>
      </c>
      <c r="AA110" s="154"/>
      <c r="AC110" s="150" t="s">
        <v>112</v>
      </c>
      <c r="AE110" s="154">
        <v>17329877</v>
      </c>
      <c r="AF110" s="154"/>
      <c r="AG110" s="154"/>
      <c r="AH110" s="154"/>
      <c r="AI110" s="154"/>
      <c r="AJ110" s="154"/>
    </row>
    <row r="111" spans="3:42">
      <c r="G111" s="154"/>
      <c r="H111" s="154" t="e">
        <f ca="1">[3]!terbilang(H110)</f>
        <v>#NAME?</v>
      </c>
      <c r="I111" s="193">
        <v>1089999</v>
      </c>
      <c r="J111" s="193">
        <v>15000000</v>
      </c>
      <c r="K111" s="193"/>
      <c r="L111" s="401" t="s">
        <v>547</v>
      </c>
      <c r="M111" s="401"/>
      <c r="N111" s="401"/>
      <c r="O111" s="154"/>
      <c r="P111" s="401" t="s">
        <v>619</v>
      </c>
      <c r="Q111" s="401"/>
      <c r="R111" s="401"/>
      <c r="S111" s="401" t="s">
        <v>627</v>
      </c>
      <c r="T111" s="401"/>
      <c r="U111" s="401"/>
      <c r="W111" s="248"/>
      <c r="X111" s="248"/>
      <c r="Y111" s="154"/>
      <c r="Z111" s="154"/>
      <c r="AA111" s="154"/>
      <c r="AE111" s="154" t="e">
        <f ca="1">[3]!terbilang(AE110)</f>
        <v>#NAME?</v>
      </c>
      <c r="AF111" s="154"/>
      <c r="AG111" s="154"/>
      <c r="AH111" s="154"/>
      <c r="AI111" s="154"/>
      <c r="AJ111" s="154"/>
    </row>
    <row r="112" spans="3:42">
      <c r="G112" s="154"/>
      <c r="H112" s="154"/>
      <c r="I112" s="154"/>
      <c r="J112" s="154">
        <f>SUM(J105:J111)</f>
        <v>363206251</v>
      </c>
      <c r="K112" s="154"/>
      <c r="L112" s="176" t="s">
        <v>230</v>
      </c>
      <c r="M112" s="176" t="s">
        <v>444</v>
      </c>
      <c r="N112" s="176" t="s">
        <v>445</v>
      </c>
      <c r="O112" s="154"/>
      <c r="P112" s="285" t="s">
        <v>230</v>
      </c>
      <c r="Q112" s="285" t="s">
        <v>444</v>
      </c>
      <c r="R112" s="285" t="s">
        <v>445</v>
      </c>
      <c r="S112" s="285" t="s">
        <v>230</v>
      </c>
      <c r="T112" s="285" t="s">
        <v>444</v>
      </c>
      <c r="U112" s="285" t="s">
        <v>445</v>
      </c>
      <c r="W112" s="154"/>
      <c r="X112" s="154"/>
      <c r="Y112" s="248" t="e">
        <f ca="1">[3]!terbilang(Y111)</f>
        <v>#NAME?</v>
      </c>
      <c r="Z112" s="248"/>
      <c r="AA112" s="154"/>
      <c r="AB112" s="154"/>
      <c r="AE112" s="154"/>
      <c r="AF112" s="154"/>
      <c r="AG112" s="154"/>
      <c r="AH112" s="154"/>
      <c r="AI112" s="154"/>
      <c r="AJ112" s="154"/>
    </row>
    <row r="113" spans="3:36">
      <c r="D113" s="193">
        <v>56628134</v>
      </c>
      <c r="E113" s="154">
        <v>11313793</v>
      </c>
      <c r="F113" s="154">
        <v>4903555261</v>
      </c>
      <c r="G113" s="154">
        <v>22883258</v>
      </c>
      <c r="H113" s="193" t="s">
        <v>111</v>
      </c>
      <c r="I113" s="154" t="s">
        <v>111</v>
      </c>
      <c r="J113" s="154"/>
      <c r="K113" s="154"/>
      <c r="L113" s="176" t="s">
        <v>548</v>
      </c>
      <c r="M113" s="176" t="s">
        <v>549</v>
      </c>
      <c r="N113" s="176">
        <v>60794473</v>
      </c>
      <c r="P113" s="176" t="s">
        <v>620</v>
      </c>
      <c r="Q113" s="176" t="s">
        <v>621</v>
      </c>
      <c r="R113" s="176">
        <v>5786000</v>
      </c>
      <c r="S113" s="176" t="s">
        <v>628</v>
      </c>
      <c r="T113" s="176" t="s">
        <v>629</v>
      </c>
      <c r="U113" s="176">
        <v>1440000</v>
      </c>
      <c r="W113" s="248"/>
      <c r="X113" s="248"/>
      <c r="Z113" s="154"/>
      <c r="AA113" s="154"/>
      <c r="AB113" s="154"/>
      <c r="AE113" s="154"/>
      <c r="AF113" s="154"/>
      <c r="AG113" s="154"/>
      <c r="AH113" s="154"/>
      <c r="AI113" s="154"/>
      <c r="AJ113" s="154"/>
    </row>
    <row r="114" spans="3:36">
      <c r="D114" s="193"/>
      <c r="E114" s="154"/>
      <c r="F114" s="154"/>
      <c r="G114" s="154"/>
      <c r="H114" s="193"/>
      <c r="I114" s="154"/>
      <c r="J114" s="154"/>
      <c r="K114" s="154"/>
      <c r="L114" s="176"/>
      <c r="M114" s="176"/>
      <c r="N114" s="176"/>
      <c r="P114" s="176" t="s">
        <v>625</v>
      </c>
      <c r="Q114" s="176" t="s">
        <v>626</v>
      </c>
      <c r="R114" s="176">
        <v>500000</v>
      </c>
      <c r="S114" s="176" t="s">
        <v>123</v>
      </c>
      <c r="T114" s="176" t="s">
        <v>630</v>
      </c>
      <c r="U114" s="176">
        <v>2620000</v>
      </c>
      <c r="W114" s="248"/>
      <c r="X114" s="248"/>
      <c r="Z114" s="154"/>
      <c r="AA114" s="154"/>
      <c r="AB114" s="154"/>
      <c r="AE114" s="154"/>
      <c r="AF114" s="154"/>
      <c r="AG114" s="154"/>
      <c r="AH114" s="154"/>
      <c r="AI114" s="154"/>
      <c r="AJ114" s="154"/>
    </row>
    <row r="115" spans="3:36">
      <c r="D115" s="193" t="e">
        <f ca="1">[3]!terbilang(D113)</f>
        <v>#NAME?</v>
      </c>
      <c r="E115" s="193" t="e">
        <f ca="1">[3]!terbilang(E113)</f>
        <v>#NAME?</v>
      </c>
      <c r="F115" s="193" t="e">
        <f ca="1">[3]!terbilang(F113)</f>
        <v>#NAME?</v>
      </c>
      <c r="G115" s="193" t="e">
        <f ca="1">[3]!terbilang(G113)</f>
        <v>#NAME?</v>
      </c>
      <c r="H115" s="193" t="e">
        <f ca="1">[3]!terbilang(H113)</f>
        <v>#NAME?</v>
      </c>
      <c r="I115" s="154" t="s">
        <v>108</v>
      </c>
      <c r="J115" s="154"/>
      <c r="K115" s="154"/>
      <c r="L115" s="176" t="s">
        <v>548</v>
      </c>
      <c r="M115" s="176" t="s">
        <v>550</v>
      </c>
      <c r="N115" s="176">
        <v>7848418</v>
      </c>
      <c r="P115" s="176" t="s">
        <v>437</v>
      </c>
      <c r="Q115" s="176" t="s">
        <v>622</v>
      </c>
      <c r="R115" s="176">
        <v>3015600</v>
      </c>
      <c r="S115" s="176" t="s">
        <v>134</v>
      </c>
      <c r="T115" s="176" t="s">
        <v>631</v>
      </c>
      <c r="U115" s="176">
        <v>4270000</v>
      </c>
      <c r="W115" s="150" t="s">
        <v>108</v>
      </c>
      <c r="X115" s="154"/>
      <c r="Z115" s="154"/>
      <c r="AA115" s="154">
        <v>12422926</v>
      </c>
      <c r="AB115" s="154">
        <v>1687597784</v>
      </c>
      <c r="AC115" s="154">
        <v>19316668</v>
      </c>
      <c r="AD115" s="154">
        <v>3902561</v>
      </c>
      <c r="AE115" s="154"/>
      <c r="AF115" s="154"/>
      <c r="AG115" s="154"/>
      <c r="AH115" s="154"/>
      <c r="AI115" s="154"/>
      <c r="AJ115" s="154"/>
    </row>
    <row r="116" spans="3:36">
      <c r="D116" s="193">
        <v>2867700789</v>
      </c>
      <c r="E116" s="193">
        <v>13711355</v>
      </c>
      <c r="F116" s="193">
        <v>2813544</v>
      </c>
      <c r="G116" s="193">
        <v>1144573898</v>
      </c>
      <c r="H116" s="193"/>
      <c r="I116" s="154"/>
      <c r="J116" s="154"/>
      <c r="K116" s="154"/>
      <c r="L116" s="176" t="s">
        <v>551</v>
      </c>
      <c r="M116" s="169" t="s">
        <v>552</v>
      </c>
      <c r="N116" s="176">
        <v>9685742</v>
      </c>
      <c r="P116" s="176" t="s">
        <v>623</v>
      </c>
      <c r="Q116" s="169" t="s">
        <v>624</v>
      </c>
      <c r="R116" s="176">
        <v>8643800</v>
      </c>
      <c r="S116" s="176"/>
      <c r="T116" s="169"/>
      <c r="U116" s="176"/>
      <c r="V116" s="150" t="s">
        <v>111</v>
      </c>
      <c r="W116" s="154"/>
      <c r="X116" s="154">
        <v>30000</v>
      </c>
      <c r="Z116" s="154"/>
      <c r="AA116" s="154" t="str">
        <f>[4]!TERBILANG(AA115)</f>
        <v xml:space="preserve">Duabelas Juta Empatratus Duapuluh Dua Ribu Sembilanratus Duapuluh Enam </v>
      </c>
      <c r="AB116" s="154" t="e">
        <f ca="1">[3]!terbilang(AB115)</f>
        <v>#NAME?</v>
      </c>
      <c r="AC116" s="154" t="str">
        <f>[4]!TERBILANG(AC115)</f>
        <v xml:space="preserve">Sembilanbelas Juta Tigaratus Enambelas Ribu Enamratus Enampuluh Delapan </v>
      </c>
      <c r="AD116" s="154" t="e">
        <f ca="1">[3]!terbilang(AD115)</f>
        <v>#NAME?</v>
      </c>
      <c r="AE116" s="154" t="e">
        <f ca="1">[3]!terbilang(AE115)</f>
        <v>#NAME?</v>
      </c>
      <c r="AF116" s="154"/>
      <c r="AG116" s="154"/>
      <c r="AH116" s="154"/>
      <c r="AI116" s="154"/>
      <c r="AJ116" s="154"/>
    </row>
    <row r="117" spans="3:36">
      <c r="C117" s="150"/>
      <c r="D117" s="193" t="s">
        <v>543</v>
      </c>
      <c r="E117" s="154"/>
      <c r="F117" s="154"/>
      <c r="G117" s="154"/>
      <c r="H117" s="154"/>
      <c r="I117" s="154"/>
      <c r="K117" s="193"/>
      <c r="L117" s="176" t="s">
        <v>562</v>
      </c>
      <c r="M117" s="169" t="s">
        <v>561</v>
      </c>
      <c r="N117" s="176">
        <v>7905800</v>
      </c>
      <c r="P117" s="176"/>
      <c r="Q117" s="169"/>
      <c r="R117" s="176"/>
      <c r="S117" s="176"/>
      <c r="T117" s="169"/>
      <c r="U117" s="176"/>
      <c r="W117" s="154"/>
      <c r="X117" s="154"/>
      <c r="AA117" s="154">
        <v>8434282</v>
      </c>
      <c r="AB117" s="154">
        <v>21008509</v>
      </c>
      <c r="AC117" s="154">
        <v>2695846196</v>
      </c>
      <c r="AD117" s="154">
        <v>3552000</v>
      </c>
      <c r="AE117" s="154"/>
      <c r="AF117" s="154"/>
      <c r="AG117" s="154"/>
      <c r="AH117" s="154"/>
    </row>
    <row r="118" spans="3:36">
      <c r="C118" s="150"/>
      <c r="D118" s="193" t="s">
        <v>542</v>
      </c>
      <c r="E118" s="154"/>
      <c r="F118" s="154"/>
      <c r="G118" s="154"/>
      <c r="H118" s="154"/>
      <c r="J118" s="154"/>
      <c r="K118" s="154"/>
      <c r="L118" s="227" t="s">
        <v>563</v>
      </c>
      <c r="M118" s="192"/>
      <c r="N118" s="227">
        <f>SUM(N113:N117)</f>
        <v>86234433</v>
      </c>
      <c r="P118" s="227" t="s">
        <v>563</v>
      </c>
      <c r="Q118" s="192"/>
      <c r="R118" s="227">
        <f>SUM(R113:R117)</f>
        <v>17945400</v>
      </c>
      <c r="S118" s="227" t="s">
        <v>563</v>
      </c>
      <c r="T118" s="192"/>
      <c r="U118" s="227">
        <f>SUM(U113:U117)</f>
        <v>8330000</v>
      </c>
      <c r="W118" s="248"/>
      <c r="X118" s="248" t="e">
        <f ca="1">[3]!terbilang(X117)</f>
        <v>#NAME?</v>
      </c>
      <c r="Z118" s="154"/>
      <c r="AA118" s="154" t="e">
        <f ca="1">[3]!terbilang(AA117)</f>
        <v>#NAME?</v>
      </c>
      <c r="AB118" s="154" t="e">
        <f ca="1">[3]!terbilang(AB117)</f>
        <v>#NAME?</v>
      </c>
      <c r="AC118" s="154" t="e">
        <f ca="1">[3]!terbilang(AC117)</f>
        <v>#NAME?</v>
      </c>
      <c r="AD118" s="154" t="e">
        <f ca="1">[3]!terbilang(AD117)</f>
        <v>#NAME?</v>
      </c>
      <c r="AF118" s="154"/>
      <c r="AG118" s="154"/>
      <c r="AH118" s="154"/>
    </row>
    <row r="119" spans="3:36">
      <c r="C119" s="150"/>
      <c r="D119" s="193"/>
      <c r="E119" s="193"/>
      <c r="F119" s="193"/>
      <c r="G119" s="193"/>
      <c r="H119" s="154"/>
      <c r="J119" s="193"/>
      <c r="K119" s="193"/>
      <c r="L119" s="154"/>
      <c r="N119" s="154"/>
      <c r="P119" s="154"/>
      <c r="Q119" s="154"/>
      <c r="R119" s="154"/>
      <c r="T119" s="154"/>
      <c r="Z119" s="154" t="s">
        <v>112</v>
      </c>
      <c r="AA119" s="154">
        <v>21276666</v>
      </c>
      <c r="AB119" s="154">
        <v>7518000</v>
      </c>
      <c r="AC119" s="154" t="s">
        <v>111</v>
      </c>
      <c r="AD119" s="154"/>
      <c r="AE119" s="154"/>
      <c r="AF119" s="154"/>
      <c r="AG119" s="154"/>
      <c r="AH119" s="154"/>
    </row>
    <row r="120" spans="3:36">
      <c r="C120" s="150"/>
      <c r="D120" s="193"/>
      <c r="E120" s="154" t="s">
        <v>104</v>
      </c>
      <c r="F120" s="154">
        <v>282181644</v>
      </c>
      <c r="G120" s="154"/>
      <c r="H120" s="154"/>
      <c r="J120" s="193"/>
      <c r="K120" s="193"/>
      <c r="L120" s="154"/>
      <c r="N120" s="154"/>
      <c r="P120" s="154"/>
      <c r="Q120" s="154"/>
      <c r="R120" s="154"/>
      <c r="T120" s="154"/>
      <c r="V120" s="185"/>
      <c r="X120" s="154"/>
      <c r="Z120" s="154"/>
      <c r="AA120" s="154" t="e">
        <f ca="1">[3]!terbilang(AA119)</f>
        <v>#NAME?</v>
      </c>
      <c r="AB120" s="154" t="e">
        <f ca="1">[3]!terbilang(AB119)</f>
        <v>#NAME?</v>
      </c>
      <c r="AC120" s="154" t="e">
        <f ca="1">[3]!terbilang(AC119)</f>
        <v>#NAME?</v>
      </c>
      <c r="AD120" s="154" t="e">
        <f ca="1">[3]!terbilang(AD119)</f>
        <v>#NAME?</v>
      </c>
      <c r="AE120" s="154" t="e">
        <f ca="1">[3]!terbilang(AE119)</f>
        <v>#NAME?</v>
      </c>
      <c r="AG120" s="154"/>
      <c r="AH120" s="154"/>
    </row>
    <row r="121" spans="3:36">
      <c r="C121" s="150"/>
      <c r="D121" s="193"/>
      <c r="E121" s="193" t="s">
        <v>651</v>
      </c>
      <c r="F121" s="193">
        <v>31039981</v>
      </c>
      <c r="G121" s="193"/>
      <c r="H121" s="154"/>
      <c r="I121" s="154">
        <v>300966517</v>
      </c>
      <c r="J121" s="193"/>
      <c r="K121" s="193"/>
      <c r="N121" s="154"/>
      <c r="O121" s="150" t="s">
        <v>111</v>
      </c>
      <c r="R121" s="185"/>
      <c r="T121" s="154">
        <v>825503</v>
      </c>
      <c r="U121" s="154">
        <v>13087000</v>
      </c>
      <c r="V121" s="154">
        <v>7529997</v>
      </c>
      <c r="W121" s="154">
        <v>8950000</v>
      </c>
      <c r="Z121" s="154" t="s">
        <v>111</v>
      </c>
      <c r="AA121" s="154">
        <v>10350000</v>
      </c>
      <c r="AB121" s="154">
        <v>22729543</v>
      </c>
      <c r="AC121" s="154">
        <v>16303742</v>
      </c>
      <c r="AD121" s="154"/>
      <c r="AE121" s="154"/>
      <c r="AF121" s="154"/>
    </row>
    <row r="122" spans="3:36">
      <c r="C122" s="150"/>
      <c r="D122" s="193" t="s">
        <v>545</v>
      </c>
      <c r="E122" s="154" t="s">
        <v>652</v>
      </c>
      <c r="F122" s="154">
        <f>F120*15%</f>
        <v>42327246.600000001</v>
      </c>
      <c r="G122" s="154"/>
      <c r="H122" s="154">
        <v>8845339</v>
      </c>
      <c r="I122" s="154"/>
      <c r="J122" s="193"/>
      <c r="K122" s="193"/>
      <c r="N122" s="154"/>
      <c r="R122" s="185">
        <v>44545</v>
      </c>
      <c r="S122" s="150" t="s">
        <v>112</v>
      </c>
      <c r="T122" s="154" t="str">
        <f>[4]!TERBILANG(T121)</f>
        <v xml:space="preserve">Delapanratus Duapuluh Lima Ribu Limaratus Tiga </v>
      </c>
      <c r="U122" s="154" t="e">
        <f ca="1">[3]!terbilang(U121)</f>
        <v>#NAME?</v>
      </c>
      <c r="V122" s="154" t="e">
        <f ca="1">[3]!terbilang(V121)</f>
        <v>#NAME?</v>
      </c>
      <c r="W122" s="154" t="e">
        <f ca="1">[3]!terbilang(W121)</f>
        <v>#NAME?</v>
      </c>
      <c r="AA122" s="154" t="e">
        <f ca="1">[3]!terbilang(AA121)</f>
        <v>#NAME?</v>
      </c>
      <c r="AB122" s="154" t="e">
        <f ca="1">[3]!terbilang(AB121)</f>
        <v>#NAME?</v>
      </c>
      <c r="AC122" s="154" t="e">
        <f ca="1">[3]!terbilang(AC121)</f>
        <v>#NAME?</v>
      </c>
      <c r="AD122" s="154" t="e">
        <f ca="1">[3]!terbilang(AD121)</f>
        <v>#NAME?</v>
      </c>
    </row>
    <row r="123" spans="3:36">
      <c r="C123" s="150"/>
      <c r="D123" s="193"/>
      <c r="E123" s="154" t="s">
        <v>653</v>
      </c>
      <c r="F123" s="154">
        <f>F120+F121-F122</f>
        <v>270894378.39999998</v>
      </c>
      <c r="G123" s="154"/>
      <c r="H123" s="154">
        <v>59202460</v>
      </c>
      <c r="I123" s="154"/>
      <c r="J123" s="193"/>
      <c r="K123" s="193"/>
      <c r="N123" s="154"/>
      <c r="R123" s="185">
        <v>44545</v>
      </c>
      <c r="T123" s="154">
        <v>2775000</v>
      </c>
      <c r="U123" s="154">
        <v>77264972</v>
      </c>
      <c r="V123" s="150">
        <v>3031731</v>
      </c>
      <c r="W123" s="150">
        <v>3025000</v>
      </c>
      <c r="X123" s="150">
        <v>39097062</v>
      </c>
      <c r="AA123" s="154">
        <v>5260710</v>
      </c>
      <c r="AB123" s="154">
        <v>42449921</v>
      </c>
      <c r="AC123" s="154"/>
      <c r="AD123" s="154"/>
    </row>
    <row r="124" spans="3:36">
      <c r="C124" s="150"/>
      <c r="D124" s="193"/>
      <c r="E124" s="154" t="s">
        <v>112</v>
      </c>
      <c r="F124" s="154"/>
      <c r="G124" s="154"/>
      <c r="H124" s="154">
        <v>14400000</v>
      </c>
      <c r="I124" s="154"/>
      <c r="J124" s="193"/>
      <c r="K124" s="193" t="s">
        <v>658</v>
      </c>
      <c r="T124" s="154" t="e">
        <f ca="1">[3]!terbilang(T123)</f>
        <v>#NAME?</v>
      </c>
      <c r="U124" s="154" t="e">
        <f ca="1">[3]!terbilang(U123)</f>
        <v>#NAME?</v>
      </c>
      <c r="V124" s="154" t="e">
        <f ca="1">[3]!terbilang(V123)</f>
        <v>#NAME?</v>
      </c>
      <c r="W124" s="154" t="e">
        <f ca="1">[3]!terbilang(W123)</f>
        <v>#NAME?</v>
      </c>
      <c r="X124" s="154" t="e">
        <f ca="1">[3]!terbilang(X123)</f>
        <v>#NAME?</v>
      </c>
      <c r="Y124" s="154" t="e">
        <f ca="1">[3]!terbilang(Y123)</f>
        <v>#NAME?</v>
      </c>
      <c r="AA124" s="154" t="e">
        <f ca="1">[3]!terbilang(AA123)</f>
        <v>#NAME?</v>
      </c>
      <c r="AB124" s="154" t="e">
        <f ca="1">[3]!terbilang(AB123)</f>
        <v>#NAME?</v>
      </c>
      <c r="AC124" s="154" t="e">
        <f ca="1">[3]!terbilang(AC123)</f>
        <v>#NAME?</v>
      </c>
      <c r="AD124" s="154"/>
    </row>
    <row r="125" spans="3:36">
      <c r="C125" s="150"/>
      <c r="D125" s="193"/>
      <c r="E125" s="154"/>
      <c r="F125" s="154"/>
      <c r="G125" s="154"/>
      <c r="H125" s="154"/>
      <c r="I125" s="154"/>
      <c r="J125" s="193"/>
      <c r="K125" s="193"/>
      <c r="P125" s="150" t="s">
        <v>111</v>
      </c>
      <c r="T125" s="154"/>
      <c r="U125" s="154">
        <v>900000</v>
      </c>
      <c r="V125" s="154">
        <v>26564276</v>
      </c>
      <c r="W125" s="154">
        <v>14544781</v>
      </c>
      <c r="X125" s="154">
        <v>60445323</v>
      </c>
      <c r="Y125" s="154">
        <v>99250443</v>
      </c>
      <c r="AA125" s="154"/>
      <c r="AB125" s="154"/>
      <c r="AC125" s="154"/>
      <c r="AD125" s="154"/>
    </row>
    <row r="126" spans="3:36">
      <c r="C126" s="150"/>
      <c r="D126" s="193"/>
      <c r="E126" s="154"/>
      <c r="F126" s="154"/>
      <c r="G126" s="154"/>
      <c r="H126" s="154"/>
      <c r="I126" s="154"/>
      <c r="J126" s="193"/>
      <c r="K126" s="193"/>
      <c r="O126" s="150" t="s">
        <v>112</v>
      </c>
      <c r="T126" s="154"/>
      <c r="U126" s="154" t="e">
        <f ca="1">[3]!terbilang(U125)</f>
        <v>#NAME?</v>
      </c>
      <c r="V126" s="154" t="e">
        <f ca="1">[3]!terbilang(V125)</f>
        <v>#NAME?</v>
      </c>
      <c r="W126" s="154" t="e">
        <f ca="1">[3]!terbilang(W125)</f>
        <v>#NAME?</v>
      </c>
      <c r="X126" s="154" t="e">
        <f ca="1">[3]!terbilang(X125)</f>
        <v>#NAME?</v>
      </c>
      <c r="Y126" s="154" t="e">
        <f ca="1">[3]!terbilang(Y125)</f>
        <v>#NAME?</v>
      </c>
      <c r="AA126" s="154"/>
      <c r="AB126" s="154"/>
      <c r="AC126" s="154"/>
      <c r="AD126" s="154"/>
    </row>
    <row r="127" spans="3:36">
      <c r="C127" s="150"/>
      <c r="D127" s="193"/>
      <c r="E127" s="154"/>
      <c r="F127" s="154"/>
      <c r="G127" s="154"/>
      <c r="H127" s="154"/>
      <c r="I127" s="154"/>
      <c r="J127" s="193"/>
      <c r="K127" s="193"/>
      <c r="T127" s="154"/>
      <c r="U127" s="154">
        <v>32027156</v>
      </c>
      <c r="V127" s="154">
        <v>46748378</v>
      </c>
      <c r="W127" s="154"/>
      <c r="X127" s="154"/>
      <c r="Y127" s="154"/>
      <c r="AA127" s="154"/>
      <c r="AB127" s="154"/>
      <c r="AC127" s="154"/>
      <c r="AD127" s="154"/>
      <c r="AE127" s="150" t="s">
        <v>699</v>
      </c>
    </row>
    <row r="128" spans="3:36">
      <c r="C128" s="150"/>
      <c r="D128" s="193"/>
      <c r="E128" s="193"/>
      <c r="F128" s="193" t="s">
        <v>111</v>
      </c>
      <c r="G128" s="193"/>
      <c r="H128" s="154">
        <v>9735803</v>
      </c>
      <c r="I128" s="154">
        <v>1635000</v>
      </c>
      <c r="R128" s="185"/>
      <c r="U128" s="154" t="e">
        <f ca="1">[3]!terbilang(U127)</f>
        <v>#NAME?</v>
      </c>
      <c r="V128" s="154" t="e">
        <f ca="1">[3]!terbilang(V127)</f>
        <v>#NAME?</v>
      </c>
      <c r="W128" s="154" t="e">
        <f ca="1">[3]!terbilang(W127)</f>
        <v>#NAME?</v>
      </c>
      <c r="X128" s="154" t="e">
        <f ca="1">[3]!terbilang(X127)</f>
        <v>#NAME?</v>
      </c>
      <c r="Y128" s="154" t="e">
        <f ca="1">[3]!terbilang(Y127)</f>
        <v>#NAME?</v>
      </c>
      <c r="AA128" s="150" t="s">
        <v>111</v>
      </c>
      <c r="AB128" s="150" t="s">
        <v>111</v>
      </c>
      <c r="AD128" s="154" t="s">
        <v>111</v>
      </c>
      <c r="AE128" s="150" t="s">
        <v>694</v>
      </c>
      <c r="AG128" s="154">
        <v>14458500</v>
      </c>
    </row>
    <row r="129" spans="2:33">
      <c r="C129" s="150"/>
      <c r="D129" s="193">
        <v>3785467</v>
      </c>
      <c r="E129" s="154">
        <v>38649240</v>
      </c>
      <c r="F129" s="154">
        <v>4630930</v>
      </c>
      <c r="G129" s="154">
        <v>3757161272</v>
      </c>
      <c r="H129" s="154">
        <v>102022038</v>
      </c>
      <c r="I129" s="154" t="str">
        <f>[4]!TERBILANG(I128)</f>
        <v xml:space="preserve">Satu Juta Enamratus Tigapuluh Lima Ribu </v>
      </c>
      <c r="P129" s="154">
        <v>13210000</v>
      </c>
      <c r="Q129" s="154">
        <v>3464355018</v>
      </c>
      <c r="R129" s="154">
        <v>20079631</v>
      </c>
      <c r="S129" s="154">
        <v>1684952150</v>
      </c>
      <c r="T129" s="154" t="e">
        <f ca="1">[3]!terbilang(T128)</f>
        <v>#NAME?</v>
      </c>
      <c r="U129" s="154" t="e">
        <f ca="1">[3]!terbilang(U128)</f>
        <v>#NAME?</v>
      </c>
      <c r="V129" s="154" t="e">
        <f ca="1">[3]!terbilang(V128)</f>
        <v>#NAME?</v>
      </c>
      <c r="W129" s="154" t="e">
        <f ca="1">[3]!terbilang(W128)</f>
        <v>#NAME?</v>
      </c>
      <c r="X129" s="154" t="e">
        <f ca="1">[3]!terbilang(X128)</f>
        <v>#NAME?</v>
      </c>
      <c r="Y129" s="154" t="e">
        <f ca="1">[3]!terbilang(Y128)</f>
        <v>#NAME?</v>
      </c>
      <c r="AA129" s="154"/>
      <c r="AB129" s="154"/>
      <c r="AC129" s="154" t="s">
        <v>111</v>
      </c>
      <c r="AE129" s="150" t="s">
        <v>695</v>
      </c>
      <c r="AG129" s="154">
        <v>7914768</v>
      </c>
    </row>
    <row r="130" spans="2:33">
      <c r="C130" s="150"/>
      <c r="D130" s="193" t="str">
        <f>[4]!TERBILANG(D129)</f>
        <v xml:space="preserve">Tiga Juta Tujuhratus Delapanpuluh Lima Ribu Empatratus Enampuluh Tujuh </v>
      </c>
      <c r="E130" s="193" t="e">
        <f ca="1">[3]!terbilang(E129)</f>
        <v>#NAME?</v>
      </c>
      <c r="F130" s="193" t="e">
        <f ca="1">[3]!terbilang(F129)</f>
        <v>#NAME?</v>
      </c>
      <c r="G130" s="193" t="e">
        <f ca="1">[3]!terbilang(G129)</f>
        <v>#NAME?</v>
      </c>
      <c r="H130" s="154">
        <v>43801144</v>
      </c>
      <c r="I130" s="154"/>
      <c r="P130" s="154" t="str">
        <f>[4]!TERBILANG(P129)</f>
        <v xml:space="preserve">Tigabelas Juta Duaratus Sepuluh Ribu </v>
      </c>
      <c r="Q130" s="154" t="str">
        <f>[4]!TERBILANG(Q129)</f>
        <v xml:space="preserve">Tiga Miliar Empatratus Enampuluh Empat Juta Tigaratus Limapuluh Lima Ribu Delapanbelas </v>
      </c>
      <c r="R130" s="154" t="e">
        <f ca="1">[3]!terbilang(R129)</f>
        <v>#NAME?</v>
      </c>
      <c r="S130" s="154" t="s">
        <v>89</v>
      </c>
      <c r="T130" s="154"/>
      <c r="AC130" s="150" t="s">
        <v>112</v>
      </c>
      <c r="AD130" s="154"/>
      <c r="AE130" s="150" t="s">
        <v>696</v>
      </c>
      <c r="AF130" s="150" t="s">
        <v>136</v>
      </c>
      <c r="AG130" s="154">
        <v>400000</v>
      </c>
    </row>
    <row r="131" spans="2:33">
      <c r="C131" s="150"/>
      <c r="D131" s="193">
        <v>21708043</v>
      </c>
      <c r="E131" s="154"/>
      <c r="F131" s="154"/>
      <c r="G131" s="154"/>
      <c r="H131" s="154">
        <v>408494</v>
      </c>
      <c r="I131" s="154"/>
      <c r="P131" s="154">
        <v>1889663</v>
      </c>
      <c r="Q131" s="154">
        <v>78873000</v>
      </c>
      <c r="R131" s="154">
        <v>14663364</v>
      </c>
      <c r="S131" s="154">
        <v>11409138</v>
      </c>
      <c r="T131" s="154"/>
      <c r="Y131" s="154"/>
      <c r="Z131" s="154"/>
      <c r="AA131" s="154"/>
      <c r="AB131" s="154"/>
      <c r="AC131" s="154"/>
      <c r="AE131" s="150" t="s">
        <v>697</v>
      </c>
      <c r="AF131" s="150" t="s">
        <v>136</v>
      </c>
      <c r="AG131" s="154">
        <v>1852000</v>
      </c>
    </row>
    <row r="132" spans="2:33">
      <c r="C132" s="150"/>
      <c r="D132" s="193">
        <v>2398726114</v>
      </c>
      <c r="E132" s="154">
        <v>2490573319</v>
      </c>
      <c r="F132" s="154">
        <v>989583824</v>
      </c>
      <c r="G132" s="154">
        <v>6074945</v>
      </c>
      <c r="H132" s="154"/>
      <c r="I132" s="154">
        <f>SUM(H122:H131)</f>
        <v>238415278</v>
      </c>
      <c r="P132" s="154" t="e">
        <f ca="1">[3]!terbilang(P131)</f>
        <v>#NAME?</v>
      </c>
      <c r="Q132" s="154" t="e">
        <f ca="1">[3]!terbilang(Q131)</f>
        <v>#NAME?</v>
      </c>
      <c r="R132" s="154" t="e">
        <f ca="1">[3]!terbilang(R131)</f>
        <v>#NAME?</v>
      </c>
      <c r="S132" s="154" t="e">
        <f ca="1">[3]!terbilang(S131)</f>
        <v>#NAME?</v>
      </c>
      <c r="T132" s="154"/>
      <c r="Y132" s="154"/>
      <c r="Z132" s="154"/>
      <c r="AB132" s="154"/>
      <c r="AC132" s="154" t="s">
        <v>112</v>
      </c>
      <c r="AD132" s="154"/>
      <c r="AE132" s="150" t="s">
        <v>698</v>
      </c>
      <c r="AF132" s="150" t="s">
        <v>124</v>
      </c>
      <c r="AG132" s="154">
        <v>1486080</v>
      </c>
    </row>
    <row r="133" spans="2:33">
      <c r="C133" s="150"/>
      <c r="D133" s="193" t="e">
        <f ca="1">[3]!terbilang(D132)</f>
        <v>#NAME?</v>
      </c>
      <c r="E133" s="193" t="e">
        <f ca="1">[3]!terbilang(E132)</f>
        <v>#NAME?</v>
      </c>
      <c r="F133" s="193" t="e">
        <f ca="1">[3]!terbilang(F132)</f>
        <v>#NAME?</v>
      </c>
      <c r="G133" s="193" t="e">
        <f ca="1">[3]!terbilang(G132)</f>
        <v>#NAME?</v>
      </c>
      <c r="H133" s="154"/>
      <c r="I133" s="154"/>
      <c r="J133" s="218">
        <f>I121-I132</f>
        <v>62551239</v>
      </c>
      <c r="P133" s="154">
        <v>5950000</v>
      </c>
      <c r="Q133" s="154">
        <v>77298480</v>
      </c>
      <c r="R133" s="154">
        <v>29688409</v>
      </c>
      <c r="S133" s="154">
        <v>1678000</v>
      </c>
      <c r="T133" s="154"/>
      <c r="Y133" s="154"/>
      <c r="Z133" s="154"/>
      <c r="AA133" s="154"/>
      <c r="AB133" s="154"/>
      <c r="AC133" s="154"/>
      <c r="AD133" s="154" t="s">
        <v>111</v>
      </c>
      <c r="AG133" s="154"/>
    </row>
    <row r="134" spans="2:33">
      <c r="C134" s="150"/>
      <c r="D134" s="154"/>
      <c r="E134" s="154"/>
      <c r="F134" s="154"/>
      <c r="G134" s="154"/>
      <c r="H134" s="154"/>
      <c r="I134" s="154"/>
      <c r="P134" s="154" t="e">
        <f ca="1">[3]!terbilang(P133)</f>
        <v>#NAME?</v>
      </c>
      <c r="Q134" s="154" t="e">
        <f ca="1">[3]!terbilang(Q133)</f>
        <v>#NAME?</v>
      </c>
      <c r="R134" s="154" t="e">
        <f ca="1">[3]!terbilang(R133)</f>
        <v>#NAME?</v>
      </c>
      <c r="S134" s="154" t="e">
        <f ca="1">[3]!terbilang(S133)</f>
        <v>#NAME?</v>
      </c>
      <c r="T134" s="154"/>
      <c r="U134" s="150" t="s">
        <v>111</v>
      </c>
      <c r="Y134" s="154"/>
      <c r="Z134" s="154"/>
      <c r="AA134" s="154"/>
      <c r="AB134" s="154"/>
      <c r="AC134" s="154"/>
      <c r="AD134" s="154"/>
      <c r="AG134" s="154"/>
    </row>
    <row r="135" spans="2:33">
      <c r="C135" s="150"/>
      <c r="D135" s="154"/>
      <c r="E135" s="154"/>
      <c r="F135" s="154"/>
      <c r="G135" s="154"/>
      <c r="H135" s="154"/>
      <c r="I135" s="154"/>
      <c r="J135" s="193"/>
      <c r="P135" s="154"/>
      <c r="Q135" s="154">
        <v>3689932926</v>
      </c>
      <c r="R135" s="154"/>
      <c r="S135" s="154"/>
      <c r="T135" s="154"/>
      <c r="Y135" s="154"/>
      <c r="Z135" s="154"/>
      <c r="AA135" s="154"/>
      <c r="AB135" s="154"/>
      <c r="AC135" s="154"/>
      <c r="AD135" s="154"/>
    </row>
    <row r="136" spans="2:33">
      <c r="C136" s="150"/>
      <c r="D136" s="193"/>
      <c r="E136" s="193"/>
      <c r="F136" s="193"/>
      <c r="G136" s="193"/>
      <c r="H136" s="154"/>
      <c r="I136" s="154"/>
      <c r="J136" s="193">
        <v>242104606</v>
      </c>
      <c r="P136" s="154">
        <v>4424000</v>
      </c>
      <c r="Q136" s="154">
        <v>4424000</v>
      </c>
      <c r="R136" s="154" t="e">
        <f ca="1">[3]!terbilang(R135)</f>
        <v>#NAME?</v>
      </c>
      <c r="S136" s="154" t="e">
        <f ca="1">[3]!terbilang(S135)</f>
        <v>#NAME?</v>
      </c>
      <c r="T136" s="154" t="s">
        <v>678</v>
      </c>
      <c r="Y136" s="154"/>
      <c r="Z136" s="154"/>
      <c r="AA136" s="154"/>
      <c r="AB136" s="154"/>
      <c r="AC136" s="154"/>
      <c r="AD136" s="154"/>
    </row>
    <row r="137" spans="2:33">
      <c r="C137" s="150"/>
      <c r="D137" s="154"/>
      <c r="E137" s="154"/>
      <c r="F137" s="154"/>
      <c r="G137" s="154"/>
      <c r="H137" s="154"/>
      <c r="J137" s="154">
        <v>49062122</v>
      </c>
      <c r="K137" s="150"/>
      <c r="P137" s="154">
        <v>4424000</v>
      </c>
      <c r="Q137" s="154">
        <v>11751036</v>
      </c>
      <c r="R137" s="154">
        <v>3015600</v>
      </c>
      <c r="S137" s="154">
        <v>600739</v>
      </c>
      <c r="T137" s="154"/>
      <c r="Y137" s="154"/>
      <c r="Z137" s="154"/>
      <c r="AA137" s="154"/>
      <c r="AB137" s="154"/>
      <c r="AC137" s="154"/>
      <c r="AD137" s="154">
        <v>1870843551</v>
      </c>
      <c r="AE137" s="154"/>
    </row>
    <row r="138" spans="2:33">
      <c r="C138" s="150"/>
      <c r="D138" s="193"/>
      <c r="E138" s="193"/>
      <c r="F138" s="193"/>
      <c r="G138" s="193"/>
      <c r="J138" s="154">
        <v>47292120</v>
      </c>
      <c r="K138" s="150"/>
      <c r="P138" s="154" t="e">
        <f ca="1">[3]!terbilang(P137)</f>
        <v>#NAME?</v>
      </c>
      <c r="Q138" s="154" t="e">
        <f ca="1">[3]!terbilang(Q137)</f>
        <v>#NAME?</v>
      </c>
      <c r="R138" s="154" t="e">
        <f ca="1">[3]!terbilang(R137)</f>
        <v>#NAME?</v>
      </c>
      <c r="S138" s="154" t="e">
        <f ca="1">[3]!terbilang(S137)</f>
        <v>#NAME?</v>
      </c>
      <c r="T138" s="154"/>
      <c r="Y138" s="154"/>
      <c r="Z138" s="154"/>
      <c r="AA138" s="154"/>
      <c r="AB138" s="154"/>
      <c r="AC138" s="154"/>
      <c r="AD138" s="154" t="e">
        <f ca="1">[3]!terbilang(AD137)</f>
        <v>#NAME?</v>
      </c>
      <c r="AE138" s="154"/>
    </row>
    <row r="139" spans="2:33">
      <c r="C139" s="150"/>
      <c r="D139" s="154"/>
      <c r="E139" s="154"/>
      <c r="F139" s="154"/>
      <c r="G139" s="154"/>
      <c r="H139" s="154"/>
      <c r="J139" s="154">
        <v>101877980</v>
      </c>
      <c r="K139" s="150"/>
      <c r="N139" s="150" t="s">
        <v>111</v>
      </c>
      <c r="P139" s="154">
        <v>1030905</v>
      </c>
      <c r="Q139" s="154">
        <v>756000</v>
      </c>
      <c r="R139" s="154">
        <v>42212300</v>
      </c>
      <c r="S139" s="154">
        <v>9467700</v>
      </c>
      <c r="T139" s="154"/>
      <c r="Y139" s="154"/>
      <c r="Z139" s="154"/>
      <c r="AA139" s="154"/>
      <c r="AB139" s="154"/>
      <c r="AC139" s="154"/>
      <c r="AD139" s="154"/>
      <c r="AE139" s="154"/>
    </row>
    <row r="140" spans="2:33">
      <c r="C140" s="150"/>
      <c r="D140" s="193"/>
      <c r="E140" s="193"/>
      <c r="F140" s="193"/>
      <c r="G140" s="193"/>
      <c r="H140" s="193"/>
      <c r="J140" s="154">
        <v>41198822</v>
      </c>
      <c r="K140" s="150"/>
      <c r="P140" s="154" t="e">
        <f ca="1">[3]!terbilang(P139)</f>
        <v>#NAME?</v>
      </c>
      <c r="Q140" s="154" t="e">
        <f ca="1">[3]!terbilang(Q139)</f>
        <v>#NAME?</v>
      </c>
      <c r="R140" s="154" t="e">
        <f ca="1">[3]!terbilang(R139)</f>
        <v>#NAME?</v>
      </c>
      <c r="S140" s="154" t="e">
        <f ca="1">[3]!terbilang(S139)</f>
        <v>#NAME?</v>
      </c>
      <c r="Y140" s="154"/>
      <c r="Z140" s="154"/>
      <c r="AA140" s="154"/>
      <c r="AB140" s="154"/>
      <c r="AC140" s="154"/>
      <c r="AD140" s="154" t="e">
        <f ca="1">[3]!terbilang(AD139)</f>
        <v>#NAME?</v>
      </c>
      <c r="AE140" s="154"/>
    </row>
    <row r="141" spans="2:33">
      <c r="D141" s="193"/>
      <c r="E141" s="154"/>
      <c r="F141" s="154"/>
      <c r="G141" s="154"/>
      <c r="J141" s="154">
        <v>12969890</v>
      </c>
      <c r="K141" s="150"/>
      <c r="P141" s="154"/>
      <c r="R141" s="154"/>
      <c r="AD141" s="154"/>
      <c r="AE141" s="154"/>
    </row>
    <row r="142" spans="2:33">
      <c r="D142" s="193"/>
      <c r="E142" s="154"/>
      <c r="F142" s="154"/>
      <c r="G142" s="154"/>
      <c r="J142" s="154">
        <v>30314078</v>
      </c>
      <c r="K142" s="150"/>
      <c r="P142" s="154"/>
      <c r="R142" s="154"/>
    </row>
    <row r="143" spans="2:33">
      <c r="B143" s="150" t="s">
        <v>666</v>
      </c>
      <c r="C143" s="150"/>
      <c r="D143" s="154"/>
      <c r="E143" s="154"/>
      <c r="F143" s="154"/>
      <c r="G143" s="154"/>
      <c r="J143" s="154"/>
      <c r="K143" s="150"/>
      <c r="P143" s="154"/>
      <c r="Q143" s="154">
        <v>2722753720</v>
      </c>
      <c r="R143" s="154"/>
      <c r="S143" s="154"/>
      <c r="X143" s="154"/>
      <c r="AA143" s="154"/>
      <c r="AB143" s="154"/>
      <c r="AC143" s="154"/>
    </row>
    <row r="144" spans="2:33">
      <c r="C144" s="150"/>
      <c r="D144" s="154"/>
      <c r="E144" s="154"/>
      <c r="F144" s="154"/>
      <c r="G144" s="154"/>
      <c r="J144" s="154">
        <f>SUM(J136:J143)</f>
        <v>524819618</v>
      </c>
      <c r="K144" s="150"/>
      <c r="P144" s="154"/>
      <c r="Q144" s="154"/>
      <c r="R144" s="154"/>
      <c r="S144" s="154"/>
      <c r="X144" s="154"/>
      <c r="AA144" s="154"/>
      <c r="AB144" s="154"/>
      <c r="AC144" s="154"/>
    </row>
    <row r="145" spans="2:29">
      <c r="B145" s="150" t="s">
        <v>667</v>
      </c>
      <c r="C145" s="150"/>
      <c r="D145" s="150"/>
      <c r="J145" s="154"/>
      <c r="K145" s="150"/>
      <c r="P145" s="154"/>
      <c r="Q145" s="154"/>
      <c r="R145" s="154">
        <v>877014107</v>
      </c>
      <c r="S145" s="154"/>
      <c r="T145" s="150" t="s">
        <v>111</v>
      </c>
      <c r="X145" s="154"/>
      <c r="AA145" s="154"/>
      <c r="AB145" s="154"/>
      <c r="AC145" s="154"/>
    </row>
    <row r="146" spans="2:29">
      <c r="C146" s="150"/>
      <c r="D146" s="154"/>
      <c r="E146" s="154"/>
      <c r="F146" s="154"/>
      <c r="G146" s="154"/>
      <c r="J146" s="193"/>
      <c r="P146" s="154"/>
      <c r="Q146" s="154"/>
      <c r="R146" s="154">
        <v>3605000</v>
      </c>
      <c r="S146" s="154"/>
      <c r="X146" s="154"/>
      <c r="AA146" s="154"/>
      <c r="AB146" s="154"/>
      <c r="AC146" s="154"/>
    </row>
    <row r="147" spans="2:29">
      <c r="C147" s="150"/>
      <c r="D147" s="193"/>
      <c r="E147" s="193"/>
      <c r="F147" s="193"/>
      <c r="G147" s="193"/>
      <c r="P147" s="154"/>
      <c r="Q147" s="154"/>
      <c r="R147" s="154">
        <v>2550000</v>
      </c>
      <c r="S147" s="154"/>
      <c r="W147" s="154"/>
      <c r="X147" s="154"/>
      <c r="AA147" s="154"/>
      <c r="AB147" s="154"/>
      <c r="AC147" s="154"/>
    </row>
    <row r="148" spans="2:29">
      <c r="C148" s="150"/>
      <c r="D148" s="150"/>
      <c r="J148" s="150"/>
      <c r="K148" s="150"/>
      <c r="P148" s="154"/>
      <c r="Q148" s="154"/>
      <c r="R148" s="154">
        <v>10000000</v>
      </c>
      <c r="S148" s="154"/>
      <c r="X148" s="154"/>
      <c r="AA148" s="154"/>
      <c r="AB148" s="154"/>
      <c r="AC148" s="154"/>
    </row>
    <row r="149" spans="2:29">
      <c r="C149" s="150"/>
      <c r="D149" s="150"/>
      <c r="J149" s="150"/>
      <c r="K149" s="150"/>
      <c r="P149" s="154"/>
      <c r="Q149" s="154"/>
      <c r="R149" s="154">
        <v>1320000</v>
      </c>
      <c r="S149" s="154"/>
      <c r="T149" s="150" t="s">
        <v>112</v>
      </c>
      <c r="X149" s="154"/>
      <c r="AA149" s="154"/>
      <c r="AB149" s="154"/>
      <c r="AC149" s="154"/>
    </row>
    <row r="150" spans="2:29">
      <c r="C150" s="150"/>
      <c r="D150" s="150"/>
      <c r="E150" s="245">
        <f>C150+D150</f>
        <v>0</v>
      </c>
      <c r="F150" s="241">
        <v>151858375</v>
      </c>
      <c r="I150" s="150" t="s">
        <v>111</v>
      </c>
      <c r="J150" s="150"/>
      <c r="K150" s="150"/>
      <c r="P150" s="154"/>
      <c r="Q150" s="154"/>
      <c r="R150" s="154">
        <v>1013543</v>
      </c>
      <c r="S150" s="154"/>
      <c r="X150" s="154"/>
      <c r="AA150" s="154"/>
      <c r="AB150" s="154"/>
      <c r="AC150" s="154"/>
    </row>
    <row r="151" spans="2:29">
      <c r="C151" s="150"/>
      <c r="D151" s="150"/>
      <c r="E151" s="245">
        <f t="shared" ref="E151:E172" si="4">C151+D151</f>
        <v>0</v>
      </c>
      <c r="F151" s="241">
        <v>151858375</v>
      </c>
      <c r="J151" s="150"/>
      <c r="K151" s="150"/>
      <c r="P151" s="154"/>
      <c r="Q151" s="154"/>
      <c r="R151" s="154">
        <v>1042324</v>
      </c>
      <c r="S151" s="154"/>
      <c r="T151" s="150" t="s">
        <v>108</v>
      </c>
      <c r="U151" s="150" t="s">
        <v>111</v>
      </c>
      <c r="X151" s="154"/>
      <c r="AA151" s="154"/>
      <c r="AB151" s="154"/>
      <c r="AC151" s="154"/>
    </row>
    <row r="152" spans="2:29">
      <c r="C152" s="150"/>
      <c r="D152" s="150"/>
      <c r="E152" s="245">
        <f t="shared" si="4"/>
        <v>0</v>
      </c>
      <c r="F152" s="241">
        <v>15635402</v>
      </c>
      <c r="J152" s="150"/>
      <c r="K152" s="150"/>
      <c r="Q152" s="154"/>
      <c r="R152" s="154">
        <v>356740</v>
      </c>
      <c r="S152" s="154"/>
      <c r="X152" s="154"/>
      <c r="AA152" s="154"/>
      <c r="AB152" s="154"/>
      <c r="AC152" s="154"/>
    </row>
    <row r="153" spans="2:29">
      <c r="C153" s="150"/>
      <c r="D153" s="150"/>
      <c r="E153" s="245"/>
      <c r="F153" s="241"/>
      <c r="J153" s="150"/>
      <c r="K153" s="175" t="s">
        <v>675</v>
      </c>
      <c r="L153" s="175">
        <v>78301201</v>
      </c>
      <c r="M153" s="175" t="s">
        <v>677</v>
      </c>
      <c r="N153" s="175">
        <v>10775039</v>
      </c>
      <c r="Q153" s="154"/>
      <c r="R153" s="154">
        <f>1444898479+10476291</f>
        <v>1455374770</v>
      </c>
      <c r="S153" s="154"/>
      <c r="X153" s="154"/>
      <c r="AA153" s="154"/>
      <c r="AB153" s="154"/>
      <c r="AC153" s="154"/>
    </row>
    <row r="154" spans="2:29">
      <c r="C154" s="150"/>
      <c r="D154" s="150"/>
      <c r="E154" s="245">
        <f t="shared" si="4"/>
        <v>0</v>
      </c>
      <c r="F154" s="241">
        <v>417819202</v>
      </c>
      <c r="J154" s="150"/>
      <c r="K154" s="175" t="s">
        <v>676</v>
      </c>
      <c r="L154" s="175">
        <v>16408200</v>
      </c>
      <c r="M154" s="175">
        <v>231</v>
      </c>
      <c r="N154" s="175">
        <v>5696639</v>
      </c>
      <c r="Q154" s="154"/>
      <c r="R154" s="154">
        <v>142000000</v>
      </c>
      <c r="S154" s="154"/>
      <c r="X154" s="154"/>
      <c r="AA154" s="154"/>
      <c r="AB154" s="154"/>
      <c r="AC154" s="154"/>
    </row>
    <row r="155" spans="2:29">
      <c r="C155" s="150"/>
      <c r="D155" s="150"/>
      <c r="E155" s="245"/>
      <c r="F155" s="241"/>
      <c r="J155" s="150"/>
      <c r="K155" s="175"/>
      <c r="L155" s="175"/>
      <c r="M155" s="175">
        <v>232</v>
      </c>
      <c r="N155" s="175">
        <v>13247999</v>
      </c>
      <c r="Q155" s="154"/>
      <c r="R155" s="154">
        <v>130000000</v>
      </c>
      <c r="S155" s="154"/>
      <c r="X155" s="154"/>
      <c r="AA155" s="154"/>
      <c r="AB155" s="154"/>
      <c r="AC155" s="154"/>
    </row>
    <row r="156" spans="2:29">
      <c r="C156" s="150"/>
      <c r="D156" s="150"/>
      <c r="E156" s="245"/>
      <c r="F156" s="241"/>
      <c r="J156" s="150"/>
      <c r="K156" s="150"/>
      <c r="Q156" s="154"/>
      <c r="R156" s="154"/>
      <c r="S156" s="154"/>
      <c r="X156" s="154"/>
      <c r="AA156" s="154"/>
      <c r="AB156" s="154"/>
      <c r="AC156" s="154"/>
    </row>
    <row r="157" spans="2:29">
      <c r="C157" s="150"/>
      <c r="D157" s="150"/>
      <c r="E157" s="245"/>
      <c r="F157" s="241"/>
      <c r="J157" s="150"/>
      <c r="K157" s="150"/>
      <c r="Q157" s="154"/>
      <c r="R157" s="154"/>
      <c r="S157" s="154"/>
      <c r="X157" s="154"/>
      <c r="AA157" s="154"/>
      <c r="AB157" s="154"/>
      <c r="AC157" s="154"/>
    </row>
    <row r="158" spans="2:29">
      <c r="E158" s="245">
        <f t="shared" si="4"/>
        <v>0</v>
      </c>
      <c r="F158" s="241">
        <v>8266215</v>
      </c>
      <c r="J158" s="150"/>
      <c r="K158" s="150"/>
      <c r="Q158" s="154"/>
      <c r="R158" s="154">
        <f>SUM(R145:R155)</f>
        <v>2624276484</v>
      </c>
      <c r="S158" s="154"/>
    </row>
    <row r="159" spans="2:29">
      <c r="E159" s="245">
        <f t="shared" si="4"/>
        <v>0</v>
      </c>
      <c r="F159" s="241">
        <v>8266215</v>
      </c>
      <c r="J159" s="150"/>
      <c r="K159" s="150"/>
      <c r="Q159" s="154"/>
      <c r="R159" s="154"/>
      <c r="S159" s="154"/>
    </row>
    <row r="160" spans="2:29">
      <c r="E160" s="245">
        <f t="shared" si="4"/>
        <v>0</v>
      </c>
      <c r="F160" s="242">
        <v>42795328</v>
      </c>
      <c r="J160" s="150"/>
      <c r="K160" s="150"/>
      <c r="Q160" s="154">
        <f>Q143-R158</f>
        <v>98477236</v>
      </c>
      <c r="R160" s="154"/>
      <c r="S160" s="154"/>
    </row>
    <row r="161" spans="3:19">
      <c r="C161" s="150"/>
      <c r="D161" s="150"/>
      <c r="E161" s="245">
        <f t="shared" si="4"/>
        <v>0</v>
      </c>
      <c r="F161" s="241">
        <v>26265232</v>
      </c>
      <c r="J161" s="150"/>
      <c r="K161" s="150"/>
      <c r="Q161" s="154"/>
      <c r="R161" s="154"/>
      <c r="S161" s="154"/>
    </row>
    <row r="162" spans="3:19">
      <c r="C162" s="150"/>
      <c r="D162" s="150"/>
      <c r="E162" s="245">
        <f t="shared" si="4"/>
        <v>0</v>
      </c>
      <c r="F162" s="242">
        <v>26265232</v>
      </c>
      <c r="I162" s="150" t="s">
        <v>112</v>
      </c>
      <c r="Q162" s="154"/>
      <c r="R162" s="154"/>
      <c r="S162" s="154"/>
    </row>
    <row r="163" spans="3:19">
      <c r="C163" s="150"/>
      <c r="D163" s="150"/>
      <c r="E163" s="245">
        <f t="shared" si="4"/>
        <v>0</v>
      </c>
      <c r="F163" s="242">
        <v>199624868</v>
      </c>
      <c r="Q163" s="154"/>
      <c r="R163" s="154"/>
      <c r="S163" s="154"/>
    </row>
    <row r="164" spans="3:19">
      <c r="C164" s="150"/>
      <c r="D164" s="150"/>
      <c r="E164" s="245">
        <f t="shared" si="4"/>
        <v>0</v>
      </c>
      <c r="F164" s="241">
        <v>19684245</v>
      </c>
    </row>
    <row r="165" spans="3:19">
      <c r="C165" s="150"/>
      <c r="D165" s="150"/>
      <c r="E165" s="245">
        <f t="shared" si="4"/>
        <v>0</v>
      </c>
      <c r="F165" s="241">
        <v>77905425</v>
      </c>
      <c r="J165" s="150"/>
      <c r="K165" s="150"/>
    </row>
    <row r="166" spans="3:19">
      <c r="C166" s="150"/>
      <c r="D166" s="150"/>
      <c r="E166" s="245">
        <f t="shared" si="4"/>
        <v>0</v>
      </c>
      <c r="F166" s="241">
        <v>4441476</v>
      </c>
      <c r="J166" s="150"/>
      <c r="K166" s="150"/>
    </row>
    <row r="167" spans="3:19">
      <c r="C167" s="150"/>
      <c r="D167" s="150"/>
      <c r="E167" s="245">
        <f t="shared" si="4"/>
        <v>0</v>
      </c>
      <c r="F167" s="241">
        <v>4266433</v>
      </c>
      <c r="J167" s="150"/>
      <c r="K167" s="150"/>
    </row>
    <row r="168" spans="3:19">
      <c r="C168" s="150"/>
      <c r="D168" s="150"/>
      <c r="E168" s="245">
        <f t="shared" si="4"/>
        <v>0</v>
      </c>
      <c r="F168" s="241">
        <v>852429</v>
      </c>
      <c r="J168" s="150"/>
      <c r="K168" s="150"/>
    </row>
    <row r="169" spans="3:19">
      <c r="C169" s="150"/>
      <c r="D169" s="150"/>
      <c r="E169" s="245">
        <f t="shared" si="4"/>
        <v>0</v>
      </c>
      <c r="F169" s="241">
        <v>852429</v>
      </c>
      <c r="H169" s="154"/>
      <c r="J169" s="150"/>
      <c r="K169" s="150"/>
    </row>
    <row r="170" spans="3:19">
      <c r="C170" s="150"/>
      <c r="D170" s="150"/>
      <c r="E170" s="245">
        <f t="shared" si="4"/>
        <v>0</v>
      </c>
      <c r="F170" s="242">
        <v>112121856</v>
      </c>
      <c r="H170" s="154"/>
      <c r="J170" s="150"/>
      <c r="K170" s="150"/>
    </row>
    <row r="171" spans="3:19">
      <c r="C171" s="150"/>
      <c r="D171" s="150"/>
      <c r="E171" s="245">
        <f t="shared" si="4"/>
        <v>0</v>
      </c>
      <c r="F171" s="241">
        <v>95897725</v>
      </c>
      <c r="H171" s="154"/>
      <c r="J171" s="150"/>
      <c r="K171" s="150"/>
    </row>
    <row r="172" spans="3:19">
      <c r="C172" s="150"/>
      <c r="D172" s="150"/>
      <c r="E172" s="245">
        <f t="shared" si="4"/>
        <v>0</v>
      </c>
      <c r="F172" s="242">
        <v>611033945</v>
      </c>
      <c r="H172" s="154"/>
      <c r="J172" s="150"/>
      <c r="K172" s="150"/>
    </row>
    <row r="173" spans="3:19">
      <c r="C173" s="150"/>
      <c r="D173" s="150"/>
      <c r="F173" s="243"/>
      <c r="H173" s="154"/>
      <c r="J173" s="150"/>
      <c r="K173" s="150"/>
    </row>
    <row r="174" spans="3:19">
      <c r="H174" s="193" t="e">
        <f ca="1">[3]!terbilang(H173)</f>
        <v>#NAME?</v>
      </c>
      <c r="J174" s="150"/>
      <c r="K174" s="150"/>
    </row>
    <row r="175" spans="3:19">
      <c r="D175" s="193">
        <v>97846397</v>
      </c>
      <c r="E175" s="154">
        <v>2865371212</v>
      </c>
      <c r="F175" s="154">
        <v>89668307</v>
      </c>
      <c r="G175" s="154">
        <v>140646841</v>
      </c>
      <c r="H175" s="154"/>
      <c r="J175" s="150"/>
      <c r="K175" s="150"/>
    </row>
    <row r="176" spans="3:19">
      <c r="D176" s="193"/>
      <c r="E176" s="154"/>
      <c r="F176" s="154"/>
      <c r="G176" s="154"/>
      <c r="H176" s="154"/>
      <c r="J176" s="150"/>
      <c r="K176" s="150"/>
    </row>
    <row r="177" spans="3:11">
      <c r="D177" s="182" t="e">
        <f ca="1">[3]!terbilang(D175)</f>
        <v>#NAME?</v>
      </c>
      <c r="E177" s="193" t="e">
        <f ca="1">[3]!terbilang(E175)</f>
        <v>#NAME?</v>
      </c>
      <c r="F177" s="193" t="e">
        <f ca="1">[3]!terbilang(F175)</f>
        <v>#NAME?</v>
      </c>
      <c r="G177" s="193" t="e">
        <f ca="1">[3]!terbilang(G175)</f>
        <v>#NAME?</v>
      </c>
      <c r="H177" s="154"/>
      <c r="J177" s="150"/>
      <c r="K177" s="150"/>
    </row>
    <row r="178" spans="3:11">
      <c r="C178" s="150"/>
      <c r="D178" s="193"/>
      <c r="E178" s="154"/>
      <c r="F178" s="154"/>
      <c r="G178" s="154"/>
      <c r="H178" s="154"/>
      <c r="J178" s="150"/>
      <c r="K178" s="150"/>
    </row>
    <row r="179" spans="3:11">
      <c r="C179" s="150"/>
      <c r="D179" s="193">
        <v>14952300</v>
      </c>
      <c r="E179" s="154">
        <v>25686590</v>
      </c>
      <c r="F179" s="154">
        <v>12165006</v>
      </c>
      <c r="G179" s="154">
        <v>33728185</v>
      </c>
      <c r="H179" s="154"/>
      <c r="J179" s="150"/>
      <c r="K179" s="150"/>
    </row>
    <row r="180" spans="3:11">
      <c r="C180" s="150"/>
      <c r="D180" s="193" t="e">
        <f ca="1">[3]!terbilang(D179)</f>
        <v>#NAME?</v>
      </c>
      <c r="E180" s="193" t="e">
        <f ca="1">[3]!terbilang(E179)</f>
        <v>#NAME?</v>
      </c>
      <c r="F180" s="193" t="e">
        <f ca="1">[3]!terbilang(F179)</f>
        <v>#NAME?</v>
      </c>
      <c r="G180" s="193" t="e">
        <f ca="1">[3]!terbilang(G179)</f>
        <v>#NAME?</v>
      </c>
      <c r="H180" s="154"/>
      <c r="J180" s="150"/>
      <c r="K180" s="150"/>
    </row>
    <row r="181" spans="3:11">
      <c r="C181" s="150"/>
      <c r="D181" s="193"/>
      <c r="E181" s="193"/>
      <c r="F181" s="193"/>
      <c r="G181" s="193"/>
      <c r="H181" s="193" t="e">
        <f ca="1">[3]!terbilang(H179)</f>
        <v>#NAME?</v>
      </c>
      <c r="J181" s="150"/>
      <c r="K181" s="150"/>
    </row>
    <row r="182" spans="3:11">
      <c r="C182" s="150"/>
      <c r="D182" s="193">
        <v>48422213</v>
      </c>
      <c r="E182" s="154">
        <v>36753941</v>
      </c>
      <c r="F182" s="154">
        <v>31079686</v>
      </c>
      <c r="G182" s="154">
        <v>20004300</v>
      </c>
      <c r="H182" s="154"/>
      <c r="J182" s="150"/>
      <c r="K182" s="150"/>
    </row>
    <row r="183" spans="3:11">
      <c r="C183" s="150"/>
      <c r="D183" s="193"/>
      <c r="E183" s="154"/>
      <c r="F183" s="154"/>
      <c r="G183" s="154"/>
      <c r="H183" s="154"/>
      <c r="J183" s="150"/>
      <c r="K183" s="150"/>
    </row>
    <row r="184" spans="3:11">
      <c r="C184" s="150"/>
      <c r="D184" s="193" t="e">
        <f ca="1">[3]!terbilang(D182)</f>
        <v>#NAME?</v>
      </c>
      <c r="E184" s="193" t="e">
        <f ca="1">[3]!terbilang(E182)</f>
        <v>#NAME?</v>
      </c>
      <c r="F184" s="193" t="e">
        <f ca="1">[3]!terbilang(F182)</f>
        <v>#NAME?</v>
      </c>
      <c r="G184" s="193" t="e">
        <f ca="1">[3]!terbilang(G182)</f>
        <v>#NAME?</v>
      </c>
      <c r="H184" s="154"/>
      <c r="J184" s="150"/>
      <c r="K184" s="150"/>
    </row>
    <row r="185" spans="3:11">
      <c r="C185" s="150"/>
      <c r="D185" s="193">
        <v>59307925</v>
      </c>
      <c r="E185" s="154">
        <v>91714882</v>
      </c>
      <c r="F185" s="154">
        <v>50376375</v>
      </c>
      <c r="G185" s="154">
        <v>48653224</v>
      </c>
      <c r="H185" s="154"/>
      <c r="J185" s="150"/>
      <c r="K185" s="150"/>
    </row>
    <row r="186" spans="3:11">
      <c r="C186" s="150"/>
      <c r="D186" s="193"/>
      <c r="E186" s="154"/>
      <c r="F186" s="154"/>
      <c r="G186" s="154"/>
      <c r="H186" s="154"/>
      <c r="J186" s="150"/>
      <c r="K186" s="150"/>
    </row>
    <row r="187" spans="3:11">
      <c r="C187" s="150"/>
      <c r="D187" s="193" t="e">
        <f ca="1">[3]!terbilang(D185)</f>
        <v>#NAME?</v>
      </c>
      <c r="E187" s="193" t="e">
        <f ca="1">[3]!terbilang(E185)</f>
        <v>#NAME?</v>
      </c>
      <c r="F187" s="193" t="e">
        <f ca="1">[3]!terbilang(F185)</f>
        <v>#NAME?</v>
      </c>
      <c r="G187" s="193" t="e">
        <f ca="1">[3]!terbilang(G185)</f>
        <v>#NAME?</v>
      </c>
      <c r="J187" s="150"/>
      <c r="K187" s="150"/>
    </row>
    <row r="188" spans="3:11">
      <c r="C188" s="150"/>
      <c r="D188" s="193"/>
      <c r="E188" s="154"/>
      <c r="F188" s="154"/>
      <c r="G188" s="154"/>
      <c r="J188" s="150"/>
      <c r="K188" s="150"/>
    </row>
    <row r="189" spans="3:11">
      <c r="C189" s="150"/>
      <c r="D189" s="193"/>
      <c r="E189" s="154"/>
      <c r="F189" s="154"/>
      <c r="G189" s="154"/>
      <c r="J189" s="150"/>
      <c r="K189" s="150"/>
    </row>
    <row r="190" spans="3:11">
      <c r="C190" s="150"/>
      <c r="D190" s="193"/>
      <c r="E190" s="154"/>
      <c r="F190" s="154"/>
      <c r="G190" s="154"/>
      <c r="J190" s="150"/>
      <c r="K190" s="150"/>
    </row>
    <row r="191" spans="3:11">
      <c r="C191" s="150"/>
      <c r="D191" s="193"/>
      <c r="E191" s="154"/>
      <c r="F191" s="154"/>
      <c r="G191" s="154"/>
      <c r="J191" s="150"/>
      <c r="K191" s="150"/>
    </row>
    <row r="192" spans="3:11">
      <c r="C192" s="150"/>
      <c r="D192" s="193"/>
      <c r="E192" s="154" t="s">
        <v>108</v>
      </c>
      <c r="F192" s="154"/>
      <c r="G192" s="154"/>
      <c r="J192" s="150"/>
      <c r="K192" s="150"/>
    </row>
    <row r="194" spans="3:11">
      <c r="C194" s="150"/>
      <c r="D194" s="182" t="s">
        <v>112</v>
      </c>
      <c r="J194" s="150"/>
      <c r="K194" s="150"/>
    </row>
    <row r="195" spans="3:11">
      <c r="C195" s="150"/>
      <c r="E195" s="150" t="s">
        <v>111</v>
      </c>
      <c r="J195" s="150"/>
      <c r="K195" s="150"/>
    </row>
  </sheetData>
  <mergeCells count="16">
    <mergeCell ref="L111:N111"/>
    <mergeCell ref="P111:R111"/>
    <mergeCell ref="S111:U111"/>
    <mergeCell ref="C4:AG4"/>
    <mergeCell ref="A81:B81"/>
    <mergeCell ref="AD88:AF88"/>
    <mergeCell ref="F90:G90"/>
    <mergeCell ref="H90:I90"/>
    <mergeCell ref="J90:K90"/>
    <mergeCell ref="L90:M90"/>
    <mergeCell ref="R90:T90"/>
    <mergeCell ref="F91:G91"/>
    <mergeCell ref="H91:I91"/>
    <mergeCell ref="J91:K91"/>
    <mergeCell ref="L91:M91"/>
    <mergeCell ref="R91:T91"/>
  </mergeCells>
  <pageMargins left="0.7" right="0.7" top="0.75" bottom="0.75" header="0.3" footer="0.3"/>
  <pageSetup paperSize="9"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03"/>
  <sheetViews>
    <sheetView topLeftCell="A43" workbookViewId="0">
      <selection activeCell="AG103" sqref="AG103"/>
    </sheetView>
  </sheetViews>
  <sheetFormatPr defaultRowHeight="15.75"/>
  <cols>
    <col min="1" max="1" width="39.7109375" style="150" customWidth="1"/>
    <col min="2" max="2" width="12.85546875" style="150" customWidth="1"/>
    <col min="3" max="3" width="19.85546875" style="182" hidden="1" customWidth="1"/>
    <col min="4" max="4" width="18.7109375" style="182" hidden="1" customWidth="1"/>
    <col min="5" max="5" width="21.28515625" style="150" hidden="1" customWidth="1"/>
    <col min="6" max="6" width="22.5703125" style="150" hidden="1" customWidth="1"/>
    <col min="7" max="7" width="18.42578125" style="150" hidden="1" customWidth="1"/>
    <col min="8" max="8" width="22.140625" style="150" hidden="1" customWidth="1"/>
    <col min="9" max="9" width="21.42578125" style="150" hidden="1" customWidth="1"/>
    <col min="10" max="10" width="22.140625" style="182" hidden="1" customWidth="1"/>
    <col min="11" max="11" width="21" style="182" hidden="1" customWidth="1"/>
    <col min="12" max="12" width="20.28515625" style="150" hidden="1" customWidth="1"/>
    <col min="13" max="13" width="25.28515625" style="150" hidden="1" customWidth="1"/>
    <col min="14" max="14" width="19.42578125" style="150" hidden="1" customWidth="1"/>
    <col min="15" max="15" width="18.28515625" style="150" hidden="1" customWidth="1"/>
    <col min="16" max="16" width="24" style="150" hidden="1" customWidth="1"/>
    <col min="17" max="17" width="21.28515625" style="150" hidden="1" customWidth="1"/>
    <col min="18" max="18" width="25.28515625" style="150" hidden="1" customWidth="1"/>
    <col min="19" max="19" width="21.140625" style="150" hidden="1" customWidth="1"/>
    <col min="20" max="20" width="23" style="150" hidden="1" customWidth="1"/>
    <col min="21" max="21" width="19.5703125" style="150" hidden="1" customWidth="1"/>
    <col min="22" max="22" width="19.42578125" style="150" hidden="1" customWidth="1"/>
    <col min="23" max="23" width="23" style="150" hidden="1" customWidth="1"/>
    <col min="24" max="25" width="20.7109375" style="150" hidden="1" customWidth="1"/>
    <col min="26" max="26" width="22.42578125" style="150" hidden="1" customWidth="1"/>
    <col min="27" max="27" width="21.7109375" style="150" hidden="1" customWidth="1"/>
    <col min="28" max="28" width="20.28515625" style="150" hidden="1" customWidth="1"/>
    <col min="29" max="29" width="18.5703125" style="150" hidden="1" customWidth="1"/>
    <col min="30" max="30" width="18.85546875" style="150" hidden="1" customWidth="1"/>
    <col min="31" max="31" width="17.42578125" style="150" hidden="1" customWidth="1"/>
    <col min="32" max="32" width="19" style="150" hidden="1" customWidth="1"/>
    <col min="33" max="34" width="21.7109375" style="150" customWidth="1"/>
    <col min="35" max="35" width="20.28515625" style="150" customWidth="1"/>
    <col min="36" max="36" width="18.140625" style="150" customWidth="1"/>
    <col min="37" max="37" width="12.85546875" style="150" customWidth="1"/>
    <col min="38" max="38" width="19.140625" style="150" customWidth="1"/>
    <col min="39" max="16384" width="9.140625" style="150"/>
  </cols>
  <sheetData>
    <row r="1" spans="1:36">
      <c r="A1" s="147" t="s">
        <v>0</v>
      </c>
      <c r="B1" s="148"/>
      <c r="C1" s="149"/>
      <c r="D1" s="149"/>
      <c r="E1" s="148"/>
      <c r="F1" s="148"/>
      <c r="G1" s="148"/>
      <c r="H1" s="148"/>
      <c r="I1" s="148"/>
      <c r="J1" s="149"/>
      <c r="K1" s="149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</row>
    <row r="2" spans="1:36" s="154" customFormat="1">
      <c r="A2" s="151" t="s">
        <v>1</v>
      </c>
      <c r="B2" s="152"/>
      <c r="C2" s="153"/>
      <c r="D2" s="153"/>
      <c r="E2" s="152"/>
      <c r="F2" s="152"/>
      <c r="G2" s="152"/>
      <c r="H2" s="152"/>
      <c r="I2" s="152"/>
      <c r="J2" s="153"/>
      <c r="K2" s="153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</row>
    <row r="3" spans="1:36">
      <c r="A3" s="155" t="s">
        <v>2</v>
      </c>
      <c r="B3" s="156">
        <v>44774</v>
      </c>
      <c r="C3" s="153"/>
      <c r="D3" s="153"/>
      <c r="E3" s="152"/>
      <c r="F3" s="152"/>
      <c r="G3" s="152"/>
      <c r="H3" s="152"/>
      <c r="I3" s="152"/>
      <c r="J3" s="153"/>
      <c r="K3" s="153"/>
      <c r="L3" s="152"/>
      <c r="M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</row>
    <row r="4" spans="1:36">
      <c r="A4" s="157" t="s">
        <v>3</v>
      </c>
      <c r="B4" s="158" t="s">
        <v>4</v>
      </c>
      <c r="C4" s="390" t="s">
        <v>5</v>
      </c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2"/>
      <c r="AH4" s="335"/>
      <c r="AI4" s="159" t="s">
        <v>6</v>
      </c>
      <c r="AJ4" s="154"/>
    </row>
    <row r="5" spans="1:36">
      <c r="A5" s="157"/>
      <c r="B5" s="158"/>
      <c r="C5" s="160">
        <v>44774</v>
      </c>
      <c r="D5" s="160">
        <v>44775</v>
      </c>
      <c r="E5" s="160">
        <v>44776</v>
      </c>
      <c r="F5" s="160">
        <v>44777</v>
      </c>
      <c r="G5" s="160">
        <v>44778</v>
      </c>
      <c r="H5" s="160">
        <v>44779</v>
      </c>
      <c r="I5" s="160">
        <v>44780</v>
      </c>
      <c r="J5" s="160">
        <v>44781</v>
      </c>
      <c r="K5" s="160">
        <v>44782</v>
      </c>
      <c r="L5" s="160">
        <v>44783</v>
      </c>
      <c r="M5" s="160">
        <v>44784</v>
      </c>
      <c r="N5" s="160">
        <v>44785</v>
      </c>
      <c r="O5" s="160">
        <v>44786</v>
      </c>
      <c r="P5" s="160">
        <v>44787</v>
      </c>
      <c r="Q5" s="160">
        <v>44788</v>
      </c>
      <c r="R5" s="160">
        <v>44789</v>
      </c>
      <c r="S5" s="160">
        <v>44790</v>
      </c>
      <c r="T5" s="160">
        <v>44791</v>
      </c>
      <c r="U5" s="160">
        <v>44792</v>
      </c>
      <c r="V5" s="160">
        <v>44793</v>
      </c>
      <c r="W5" s="160">
        <v>44794</v>
      </c>
      <c r="X5" s="160">
        <v>44795</v>
      </c>
      <c r="Y5" s="160">
        <v>44796</v>
      </c>
      <c r="Z5" s="160">
        <v>44797</v>
      </c>
      <c r="AA5" s="160">
        <v>44798</v>
      </c>
      <c r="AB5" s="160">
        <v>44799</v>
      </c>
      <c r="AC5" s="160">
        <v>44800</v>
      </c>
      <c r="AD5" s="160">
        <v>44801</v>
      </c>
      <c r="AE5" s="160">
        <v>44802</v>
      </c>
      <c r="AF5" s="160">
        <v>44803</v>
      </c>
      <c r="AG5" s="160">
        <v>44804</v>
      </c>
      <c r="AH5" s="160"/>
      <c r="AI5" s="159"/>
      <c r="AJ5" s="154"/>
    </row>
    <row r="6" spans="1:36">
      <c r="A6" s="161" t="s">
        <v>7</v>
      </c>
      <c r="B6" s="162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8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3"/>
      <c r="AJ6" s="173"/>
    </row>
    <row r="7" spans="1:36">
      <c r="A7" s="258" t="s">
        <v>93</v>
      </c>
      <c r="B7" s="162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168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163"/>
      <c r="AJ7" s="173"/>
    </row>
    <row r="8" spans="1:36">
      <c r="A8" s="166" t="s">
        <v>480</v>
      </c>
      <c r="B8" s="191"/>
      <c r="C8" s="273"/>
      <c r="D8" s="273"/>
      <c r="E8" s="273"/>
      <c r="F8" s="273"/>
      <c r="G8" s="273"/>
      <c r="H8" s="273"/>
      <c r="I8" s="171"/>
      <c r="J8" s="273"/>
      <c r="K8" s="273"/>
      <c r="L8" s="171"/>
      <c r="M8" s="273"/>
      <c r="N8" s="273"/>
      <c r="O8" s="273"/>
      <c r="P8" s="171"/>
      <c r="Q8" s="171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165"/>
      <c r="AJ8" s="173"/>
    </row>
    <row r="9" spans="1:36">
      <c r="A9" s="166" t="s">
        <v>701</v>
      </c>
      <c r="B9" s="191"/>
      <c r="C9" s="273"/>
      <c r="D9" s="273"/>
      <c r="E9" s="273"/>
      <c r="F9" s="273"/>
      <c r="G9" s="273"/>
      <c r="H9" s="273"/>
      <c r="I9" s="171"/>
      <c r="J9" s="273"/>
      <c r="K9" s="273"/>
      <c r="L9" s="171"/>
      <c r="M9" s="273"/>
      <c r="N9" s="273"/>
      <c r="O9" s="273"/>
      <c r="P9" s="171"/>
      <c r="Q9" s="171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165"/>
      <c r="AJ9" s="173"/>
    </row>
    <row r="10" spans="1:36">
      <c r="A10" s="166" t="s">
        <v>668</v>
      </c>
      <c r="B10" s="191"/>
      <c r="C10" s="175"/>
      <c r="D10" s="175"/>
      <c r="E10" s="175"/>
      <c r="F10" s="175"/>
      <c r="G10" s="175"/>
      <c r="H10" s="175"/>
      <c r="I10" s="175"/>
      <c r="J10" s="175"/>
      <c r="K10" s="175"/>
      <c r="L10" s="171"/>
      <c r="M10" s="175"/>
      <c r="N10" s="175"/>
      <c r="O10" s="175"/>
      <c r="P10" s="175"/>
      <c r="Q10" s="172"/>
      <c r="R10" s="175"/>
      <c r="S10" s="175"/>
      <c r="T10" s="171"/>
      <c r="U10" s="175"/>
      <c r="V10" s="175"/>
      <c r="W10" s="175"/>
      <c r="X10" s="175"/>
      <c r="Y10" s="175"/>
      <c r="Z10" s="175"/>
      <c r="AA10" s="171"/>
      <c r="AB10" s="175"/>
      <c r="AC10" s="175"/>
      <c r="AD10" s="175"/>
      <c r="AE10" s="175"/>
      <c r="AF10" s="175"/>
      <c r="AG10" s="175"/>
      <c r="AH10" s="175">
        <v>277790152</v>
      </c>
      <c r="AI10" s="165"/>
      <c r="AJ10" s="173"/>
    </row>
    <row r="11" spans="1:36">
      <c r="A11" s="166" t="s">
        <v>713</v>
      </c>
      <c r="B11" s="191"/>
      <c r="C11" s="175"/>
      <c r="D11" s="175"/>
      <c r="E11" s="175"/>
      <c r="F11" s="175"/>
      <c r="G11" s="175"/>
      <c r="H11" s="175"/>
      <c r="I11" s="175"/>
      <c r="J11" s="175"/>
      <c r="K11" s="175"/>
      <c r="L11" s="171"/>
      <c r="M11" s="175"/>
      <c r="N11" s="175"/>
      <c r="O11" s="175"/>
      <c r="P11" s="175"/>
      <c r="Q11" s="172">
        <f>159409750-14631601</f>
        <v>144778149</v>
      </c>
      <c r="R11" s="175"/>
      <c r="S11" s="175"/>
      <c r="T11" s="171"/>
      <c r="U11" s="175"/>
      <c r="V11" s="175"/>
      <c r="W11" s="175"/>
      <c r="X11" s="175"/>
      <c r="Y11" s="175"/>
      <c r="Z11" s="175"/>
      <c r="AA11" s="171"/>
      <c r="AB11" s="175"/>
      <c r="AC11" s="175"/>
      <c r="AD11" s="175"/>
      <c r="AE11" s="175"/>
      <c r="AF11" s="175"/>
      <c r="AG11" s="175"/>
      <c r="AH11" s="175"/>
      <c r="AI11" s="165"/>
      <c r="AJ11" s="173"/>
    </row>
    <row r="12" spans="1:36">
      <c r="A12" s="166" t="s">
        <v>579</v>
      </c>
      <c r="B12" s="191"/>
      <c r="C12" s="171"/>
      <c r="D12" s="171"/>
      <c r="E12" s="171"/>
      <c r="F12" s="171"/>
      <c r="G12" s="171"/>
      <c r="H12" s="171"/>
      <c r="I12" s="171"/>
      <c r="J12" s="171">
        <v>385399095</v>
      </c>
      <c r="K12" s="171"/>
      <c r="L12" s="175"/>
      <c r="M12" s="171"/>
      <c r="N12" s="171"/>
      <c r="O12" s="171"/>
      <c r="P12" s="171"/>
      <c r="Q12" s="172"/>
      <c r="R12" s="171"/>
      <c r="S12" s="171"/>
      <c r="T12" s="171"/>
      <c r="U12" s="171"/>
      <c r="V12" s="171"/>
      <c r="W12" s="171"/>
      <c r="X12" s="171"/>
      <c r="Y12" s="171"/>
      <c r="Z12" s="175"/>
      <c r="AA12" s="171"/>
      <c r="AB12" s="171"/>
      <c r="AC12" s="171"/>
      <c r="AD12" s="171"/>
      <c r="AE12" s="171"/>
      <c r="AF12" s="171"/>
      <c r="AG12" s="171">
        <f>161892825+348125366</f>
        <v>510018191</v>
      </c>
      <c r="AH12" s="171"/>
      <c r="AI12" s="165"/>
      <c r="AJ12" s="234"/>
    </row>
    <row r="13" spans="1:36">
      <c r="A13" s="166" t="s">
        <v>479</v>
      </c>
      <c r="B13" s="191"/>
      <c r="C13" s="171"/>
      <c r="D13" s="171"/>
      <c r="E13" s="171"/>
      <c r="F13" s="171"/>
      <c r="G13" s="171"/>
      <c r="H13" s="171"/>
      <c r="I13" s="175"/>
      <c r="J13" s="175"/>
      <c r="K13" s="171"/>
      <c r="L13" s="175"/>
      <c r="M13" s="171"/>
      <c r="N13" s="171"/>
      <c r="O13" s="171"/>
      <c r="P13" s="175"/>
      <c r="Q13" s="172"/>
      <c r="R13" s="171"/>
      <c r="S13" s="171"/>
      <c r="T13" s="171"/>
      <c r="U13" s="171"/>
      <c r="V13" s="171"/>
      <c r="W13" s="171"/>
      <c r="X13" s="171"/>
      <c r="Y13" s="171"/>
      <c r="Z13" s="171"/>
      <c r="AA13" s="175"/>
      <c r="AB13" s="171"/>
      <c r="AC13" s="171"/>
      <c r="AD13" s="171"/>
      <c r="AE13" s="171"/>
      <c r="AF13" s="171"/>
      <c r="AG13" s="171"/>
      <c r="AH13" s="171"/>
      <c r="AI13" s="165"/>
      <c r="AJ13" s="234"/>
    </row>
    <row r="14" spans="1:36">
      <c r="A14" s="166" t="s">
        <v>734</v>
      </c>
      <c r="B14" s="191"/>
      <c r="C14" s="171"/>
      <c r="D14" s="171"/>
      <c r="E14" s="171"/>
      <c r="F14" s="171"/>
      <c r="G14" s="171"/>
      <c r="H14" s="171"/>
      <c r="I14" s="175"/>
      <c r="J14" s="175"/>
      <c r="K14" s="171"/>
      <c r="L14" s="175"/>
      <c r="M14" s="171"/>
      <c r="N14" s="171"/>
      <c r="O14" s="171"/>
      <c r="P14" s="175"/>
      <c r="Q14" s="172"/>
      <c r="R14" s="171"/>
      <c r="S14" s="171"/>
      <c r="T14" s="171"/>
      <c r="U14" s="171"/>
      <c r="V14" s="171"/>
      <c r="W14" s="171"/>
      <c r="X14" s="171"/>
      <c r="Y14" s="171"/>
      <c r="Z14" s="171"/>
      <c r="AA14" s="175"/>
      <c r="AB14" s="171"/>
      <c r="AC14" s="171"/>
      <c r="AD14" s="171"/>
      <c r="AE14" s="171">
        <v>16075368</v>
      </c>
      <c r="AF14" s="171"/>
      <c r="AG14" s="171"/>
      <c r="AH14" s="171"/>
      <c r="AI14" s="165"/>
      <c r="AJ14" s="234"/>
    </row>
    <row r="15" spans="1:36">
      <c r="A15" s="166" t="s">
        <v>17</v>
      </c>
      <c r="B15" s="19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2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65"/>
      <c r="AJ15" s="234"/>
    </row>
    <row r="16" spans="1:36">
      <c r="A16" s="166" t="s">
        <v>18</v>
      </c>
      <c r="B16" s="191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168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165"/>
      <c r="AJ16" s="233"/>
    </row>
    <row r="17" spans="1:38">
      <c r="A17" s="166" t="s">
        <v>19</v>
      </c>
      <c r="B17" s="191"/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168"/>
      <c r="AC17" s="273"/>
      <c r="AD17" s="273"/>
      <c r="AE17" s="273"/>
      <c r="AF17" s="273"/>
      <c r="AG17" s="273"/>
      <c r="AH17" s="273"/>
      <c r="AI17" s="165"/>
      <c r="AJ17" s="233"/>
    </row>
    <row r="18" spans="1:38">
      <c r="A18" s="166" t="s">
        <v>530</v>
      </c>
      <c r="B18" s="191"/>
      <c r="C18" s="273"/>
      <c r="D18" s="167"/>
      <c r="E18" s="167"/>
      <c r="F18" s="167"/>
      <c r="G18" s="167"/>
      <c r="H18" s="167"/>
      <c r="I18" s="273"/>
      <c r="J18" s="273"/>
      <c r="K18" s="167"/>
      <c r="L18" s="273"/>
      <c r="M18" s="167"/>
      <c r="N18" s="167"/>
      <c r="O18" s="167"/>
      <c r="P18" s="273"/>
      <c r="Q18" s="273"/>
      <c r="R18" s="167"/>
      <c r="S18" s="167"/>
      <c r="T18" s="273"/>
      <c r="U18" s="167"/>
      <c r="V18" s="167"/>
      <c r="W18" s="273"/>
      <c r="X18" s="273">
        <f>38334601-5461856</f>
        <v>32872745</v>
      </c>
      <c r="Y18" s="167"/>
      <c r="Z18" s="273"/>
      <c r="AA18" s="273"/>
      <c r="AB18" s="168">
        <v>553163641</v>
      </c>
      <c r="AC18" s="167"/>
      <c r="AD18" s="273"/>
      <c r="AE18" s="273"/>
      <c r="AF18" s="167"/>
      <c r="AG18" s="167"/>
      <c r="AH18" s="167">
        <v>49679999</v>
      </c>
      <c r="AI18" s="165"/>
      <c r="AJ18" s="233"/>
    </row>
    <row r="19" spans="1:38">
      <c r="A19" s="166" t="s">
        <v>530</v>
      </c>
      <c r="B19" s="191"/>
      <c r="C19" s="273"/>
      <c r="D19" s="167"/>
      <c r="E19" s="167"/>
      <c r="F19" s="167"/>
      <c r="G19" s="167"/>
      <c r="H19" s="167"/>
      <c r="I19" s="273"/>
      <c r="J19" s="273"/>
      <c r="K19" s="167"/>
      <c r="L19" s="273"/>
      <c r="M19" s="167"/>
      <c r="N19" s="167"/>
      <c r="O19" s="167"/>
      <c r="P19" s="273"/>
      <c r="Q19" s="273"/>
      <c r="R19" s="167"/>
      <c r="S19" s="167"/>
      <c r="T19" s="273"/>
      <c r="U19" s="167"/>
      <c r="V19" s="167"/>
      <c r="W19" s="273"/>
      <c r="X19" s="273">
        <v>527998746</v>
      </c>
      <c r="Y19" s="167"/>
      <c r="Z19" s="273"/>
      <c r="AA19" s="273"/>
      <c r="AB19" s="168">
        <v>107639996</v>
      </c>
      <c r="AC19" s="167"/>
      <c r="AD19" s="273"/>
      <c r="AE19" s="273"/>
      <c r="AF19" s="167"/>
      <c r="AG19" s="167"/>
      <c r="AH19" s="167"/>
      <c r="AI19" s="165"/>
      <c r="AJ19" s="233"/>
    </row>
    <row r="20" spans="1:38">
      <c r="A20" s="166" t="s">
        <v>43</v>
      </c>
      <c r="B20" s="191"/>
      <c r="C20" s="273"/>
      <c r="D20" s="273"/>
      <c r="E20" s="273"/>
      <c r="F20" s="273"/>
      <c r="G20" s="273"/>
      <c r="H20" s="273"/>
      <c r="I20" s="171"/>
      <c r="J20" s="273"/>
      <c r="K20" s="273"/>
      <c r="L20" s="273"/>
      <c r="M20" s="273"/>
      <c r="N20" s="273"/>
      <c r="O20" s="273"/>
      <c r="P20" s="171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171"/>
      <c r="AB20" s="168"/>
      <c r="AC20" s="273"/>
      <c r="AD20" s="273"/>
      <c r="AE20" s="273"/>
      <c r="AF20" s="273"/>
      <c r="AG20" s="273"/>
      <c r="AH20" s="273"/>
      <c r="AI20" s="165"/>
      <c r="AJ20" s="233"/>
    </row>
    <row r="21" spans="1:38">
      <c r="A21" s="166" t="s">
        <v>318</v>
      </c>
      <c r="B21" s="191"/>
      <c r="C21" s="273"/>
      <c r="D21" s="273"/>
      <c r="E21" s="273"/>
      <c r="F21" s="273"/>
      <c r="G21" s="273"/>
      <c r="H21" s="273"/>
      <c r="I21" s="171"/>
      <c r="J21" s="170"/>
      <c r="K21" s="273"/>
      <c r="L21" s="171"/>
      <c r="M21" s="273"/>
      <c r="N21" s="273"/>
      <c r="O21" s="273"/>
      <c r="P21" s="171"/>
      <c r="Q21" s="170"/>
      <c r="R21" s="273"/>
      <c r="S21" s="273"/>
      <c r="T21" s="171">
        <v>53356869</v>
      </c>
      <c r="U21" s="273"/>
      <c r="V21" s="273"/>
      <c r="W21" s="273"/>
      <c r="X21" s="273"/>
      <c r="Y21" s="273"/>
      <c r="Z21" s="171"/>
      <c r="AA21" s="171">
        <v>158757386</v>
      </c>
      <c r="AB21" s="168"/>
      <c r="AC21" s="273"/>
      <c r="AD21" s="273"/>
      <c r="AE21" s="273"/>
      <c r="AF21" s="273"/>
      <c r="AG21" s="273"/>
      <c r="AH21" s="273"/>
      <c r="AI21" s="165"/>
      <c r="AJ21" s="233"/>
    </row>
    <row r="22" spans="1:38">
      <c r="A22" s="166" t="s">
        <v>447</v>
      </c>
      <c r="B22" s="191"/>
      <c r="C22" s="273"/>
      <c r="D22" s="273"/>
      <c r="E22" s="273"/>
      <c r="F22" s="273"/>
      <c r="G22" s="273"/>
      <c r="H22" s="273"/>
      <c r="I22" s="171"/>
      <c r="J22" s="170"/>
      <c r="K22" s="273"/>
      <c r="L22" s="170"/>
      <c r="M22" s="273"/>
      <c r="N22" s="273"/>
      <c r="O22" s="273"/>
      <c r="P22" s="171"/>
      <c r="Q22" s="170"/>
      <c r="R22" s="273"/>
      <c r="S22" s="273"/>
      <c r="T22" s="170"/>
      <c r="U22" s="273"/>
      <c r="V22" s="273"/>
      <c r="W22" s="273"/>
      <c r="X22" s="273"/>
      <c r="Y22" s="273"/>
      <c r="Z22" s="171"/>
      <c r="AA22" s="171"/>
      <c r="AB22" s="168"/>
      <c r="AC22" s="273"/>
      <c r="AD22" s="273"/>
      <c r="AE22" s="273"/>
      <c r="AF22" s="273"/>
      <c r="AG22" s="273"/>
      <c r="AH22" s="273"/>
      <c r="AI22" s="165"/>
      <c r="AJ22" s="233"/>
    </row>
    <row r="23" spans="1:38">
      <c r="A23" s="166" t="s">
        <v>348</v>
      </c>
      <c r="B23" s="191"/>
      <c r="C23" s="171">
        <v>243011402</v>
      </c>
      <c r="D23" s="171"/>
      <c r="E23" s="171"/>
      <c r="F23" s="171"/>
      <c r="G23" s="171"/>
      <c r="H23" s="171"/>
      <c r="I23" s="171"/>
      <c r="J23" s="273"/>
      <c r="K23" s="171"/>
      <c r="L23" s="273"/>
      <c r="M23" s="171"/>
      <c r="N23" s="171"/>
      <c r="O23" s="171"/>
      <c r="P23" s="171"/>
      <c r="Q23" s="273"/>
      <c r="R23" s="171"/>
      <c r="S23" s="171"/>
      <c r="T23" s="273"/>
      <c r="U23" s="171"/>
      <c r="V23" s="171"/>
      <c r="W23" s="171"/>
      <c r="X23" s="171"/>
      <c r="Y23" s="171"/>
      <c r="Z23" s="273"/>
      <c r="AA23" s="171"/>
      <c r="AB23" s="171"/>
      <c r="AC23" s="171"/>
      <c r="AD23" s="171"/>
      <c r="AE23" s="171"/>
      <c r="AF23" s="171"/>
      <c r="AG23" s="171"/>
      <c r="AH23" s="171"/>
      <c r="AI23" s="165"/>
      <c r="AJ23" s="235"/>
    </row>
    <row r="24" spans="1:38">
      <c r="A24" s="166" t="s">
        <v>354</v>
      </c>
      <c r="B24" s="191"/>
      <c r="C24" s="171"/>
      <c r="D24" s="171">
        <v>118496080</v>
      </c>
      <c r="E24" s="171"/>
      <c r="F24" s="171"/>
      <c r="G24" s="171"/>
      <c r="H24" s="171"/>
      <c r="I24" s="273"/>
      <c r="J24" s="273">
        <v>83657543</v>
      </c>
      <c r="K24" s="171"/>
      <c r="L24" s="273"/>
      <c r="M24" s="171"/>
      <c r="N24" s="171"/>
      <c r="O24" s="171"/>
      <c r="P24" s="273"/>
      <c r="Q24" s="273"/>
      <c r="R24" s="171"/>
      <c r="S24" s="171"/>
      <c r="T24" s="273"/>
      <c r="U24" s="171">
        <v>108905973</v>
      </c>
      <c r="V24" s="171"/>
      <c r="W24" s="171"/>
      <c r="X24" s="171"/>
      <c r="Y24" s="171"/>
      <c r="Z24" s="273"/>
      <c r="AA24" s="273"/>
      <c r="AB24" s="171"/>
      <c r="AC24" s="171"/>
      <c r="AD24" s="171"/>
      <c r="AE24" s="171"/>
      <c r="AF24" s="171"/>
      <c r="AG24" s="171"/>
      <c r="AH24" s="171"/>
      <c r="AI24" s="165"/>
      <c r="AJ24" s="235"/>
    </row>
    <row r="25" spans="1:38">
      <c r="A25" s="166" t="s">
        <v>350</v>
      </c>
      <c r="B25" s="191"/>
      <c r="C25" s="171"/>
      <c r="D25" s="171"/>
      <c r="E25" s="171"/>
      <c r="F25" s="171">
        <f>86947879+114620468</f>
        <v>201568347</v>
      </c>
      <c r="G25" s="171">
        <v>184965542</v>
      </c>
      <c r="H25" s="171"/>
      <c r="I25" s="273"/>
      <c r="J25" s="273"/>
      <c r="K25" s="171"/>
      <c r="L25" s="273"/>
      <c r="M25" s="171"/>
      <c r="N25" s="171"/>
      <c r="O25" s="171"/>
      <c r="P25" s="273"/>
      <c r="Q25" s="273"/>
      <c r="R25" s="171"/>
      <c r="S25" s="171"/>
      <c r="T25" s="273"/>
      <c r="U25" s="171"/>
      <c r="V25" s="171"/>
      <c r="W25" s="171"/>
      <c r="X25" s="171"/>
      <c r="Y25" s="171"/>
      <c r="Z25" s="273"/>
      <c r="AA25" s="273"/>
      <c r="AB25" s="171"/>
      <c r="AC25" s="171"/>
      <c r="AD25" s="171"/>
      <c r="AE25" s="171"/>
      <c r="AF25" s="171"/>
      <c r="AG25" s="171"/>
      <c r="AH25" s="171"/>
      <c r="AI25" s="165"/>
      <c r="AJ25" s="235"/>
    </row>
    <row r="26" spans="1:38">
      <c r="A26" s="166" t="s">
        <v>700</v>
      </c>
      <c r="B26" s="191"/>
      <c r="C26" s="172"/>
      <c r="D26" s="172"/>
      <c r="E26" s="172"/>
      <c r="F26" s="172">
        <v>111908801</v>
      </c>
      <c r="G26" s="172"/>
      <c r="H26" s="172"/>
      <c r="I26" s="273"/>
      <c r="J26" s="329"/>
      <c r="K26" s="172"/>
      <c r="L26" s="273"/>
      <c r="M26" s="172"/>
      <c r="N26" s="172"/>
      <c r="O26" s="172"/>
      <c r="P26" s="329"/>
      <c r="Q26" s="329"/>
      <c r="R26" s="172"/>
      <c r="S26" s="172"/>
      <c r="T26" s="329"/>
      <c r="U26" s="172"/>
      <c r="V26" s="172"/>
      <c r="W26" s="172"/>
      <c r="X26" s="172"/>
      <c r="Y26" s="172"/>
      <c r="Z26" s="329"/>
      <c r="AA26" s="329"/>
      <c r="AB26" s="172"/>
      <c r="AC26" s="172"/>
      <c r="AD26" s="172"/>
      <c r="AE26" s="172">
        <f>21114000-404505</f>
        <v>20709495</v>
      </c>
      <c r="AF26" s="172"/>
      <c r="AG26" s="172"/>
      <c r="AH26" s="172"/>
      <c r="AI26" s="165"/>
      <c r="AJ26" s="235"/>
    </row>
    <row r="27" spans="1:38">
      <c r="A27" s="166" t="s">
        <v>702</v>
      </c>
      <c r="B27" s="191"/>
      <c r="C27" s="329"/>
      <c r="D27" s="329"/>
      <c r="E27" s="329"/>
      <c r="F27" s="334"/>
      <c r="G27" s="329"/>
      <c r="H27" s="329"/>
      <c r="I27" s="273"/>
      <c r="J27" s="329"/>
      <c r="K27" s="329"/>
      <c r="L27" s="273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34"/>
      <c r="AA27" s="334"/>
      <c r="AB27" s="329"/>
      <c r="AC27" s="329"/>
      <c r="AD27" s="334"/>
      <c r="AE27" s="329"/>
      <c r="AF27" s="329"/>
      <c r="AG27" s="329"/>
      <c r="AH27" s="329">
        <v>288712094</v>
      </c>
      <c r="AI27" s="165"/>
      <c r="AJ27" s="235"/>
    </row>
    <row r="28" spans="1:38">
      <c r="A28" s="166" t="s">
        <v>648</v>
      </c>
      <c r="B28" s="191"/>
      <c r="C28" s="329"/>
      <c r="D28" s="329"/>
      <c r="E28" s="329"/>
      <c r="F28" s="334">
        <v>111297455</v>
      </c>
      <c r="G28" s="329"/>
      <c r="H28" s="329"/>
      <c r="I28" s="273"/>
      <c r="J28" s="329"/>
      <c r="K28" s="329"/>
      <c r="L28" s="273"/>
      <c r="M28" s="329"/>
      <c r="N28" s="329"/>
      <c r="O28" s="329"/>
      <c r="P28" s="329"/>
      <c r="Q28" s="334"/>
      <c r="R28" s="329"/>
      <c r="S28" s="329"/>
      <c r="T28" s="329"/>
      <c r="U28" s="329"/>
      <c r="V28" s="329"/>
      <c r="W28" s="329"/>
      <c r="X28" s="329"/>
      <c r="Y28" s="329"/>
      <c r="Z28" s="334">
        <v>235363094</v>
      </c>
      <c r="AA28" s="334"/>
      <c r="AB28" s="329"/>
      <c r="AC28" s="329"/>
      <c r="AD28" s="334"/>
      <c r="AE28" s="329"/>
      <c r="AF28" s="329"/>
      <c r="AG28" s="329"/>
      <c r="AH28" s="329"/>
      <c r="AI28" s="165"/>
      <c r="AJ28" s="235"/>
    </row>
    <row r="29" spans="1:38">
      <c r="A29" s="166" t="s">
        <v>704</v>
      </c>
      <c r="B29" s="191"/>
      <c r="C29" s="329"/>
      <c r="D29" s="329"/>
      <c r="E29" s="329"/>
      <c r="F29" s="334"/>
      <c r="G29" s="329"/>
      <c r="H29" s="329"/>
      <c r="I29" s="273"/>
      <c r="J29" s="329"/>
      <c r="K29" s="329"/>
      <c r="L29" s="273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34"/>
      <c r="AA29" s="334"/>
      <c r="AB29" s="329"/>
      <c r="AC29" s="329"/>
      <c r="AD29" s="334"/>
      <c r="AE29" s="329"/>
      <c r="AF29" s="329"/>
      <c r="AG29" s="329"/>
      <c r="AH29" s="329">
        <v>334823870</v>
      </c>
      <c r="AI29" s="165"/>
      <c r="AJ29" s="235"/>
    </row>
    <row r="30" spans="1:38">
      <c r="A30" s="166" t="s">
        <v>649</v>
      </c>
      <c r="B30" s="19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2"/>
      <c r="AA30" s="172"/>
      <c r="AB30" s="171"/>
      <c r="AC30" s="171"/>
      <c r="AD30" s="172"/>
      <c r="AE30" s="171"/>
      <c r="AF30" s="171"/>
      <c r="AG30" s="171"/>
      <c r="AH30" s="171"/>
      <c r="AI30" s="165"/>
      <c r="AJ30" s="234"/>
    </row>
    <row r="31" spans="1:38">
      <c r="A31" s="166" t="s">
        <v>576</v>
      </c>
      <c r="B31" s="191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>
        <v>103374298</v>
      </c>
      <c r="AI31" s="165"/>
      <c r="AJ31" s="234"/>
      <c r="AK31" s="184"/>
      <c r="AL31" s="186">
        <f>6325269+60889034</f>
        <v>67214303</v>
      </c>
    </row>
    <row r="32" spans="1:38">
      <c r="A32" s="187" t="s">
        <v>327</v>
      </c>
      <c r="B32" s="191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>
        <v>61709422</v>
      </c>
      <c r="AI32" s="165"/>
      <c r="AJ32" s="234"/>
      <c r="AK32" s="184"/>
      <c r="AL32" s="186"/>
    </row>
    <row r="33" spans="1:38">
      <c r="A33" s="187" t="s">
        <v>328</v>
      </c>
      <c r="B33" s="191"/>
      <c r="C33" s="175"/>
      <c r="D33" s="175"/>
      <c r="E33" s="175"/>
      <c r="F33" s="175"/>
      <c r="G33" s="172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>
        <v>316175655</v>
      </c>
      <c r="AI33" s="165"/>
      <c r="AJ33" s="234"/>
      <c r="AK33" s="184"/>
      <c r="AL33" s="185"/>
    </row>
    <row r="34" spans="1:38">
      <c r="A34" s="187" t="s">
        <v>330</v>
      </c>
      <c r="B34" s="191"/>
      <c r="C34" s="175"/>
      <c r="D34" s="175"/>
      <c r="E34" s="175"/>
      <c r="F34" s="175"/>
      <c r="G34" s="172"/>
      <c r="H34" s="175"/>
      <c r="I34" s="175"/>
      <c r="J34" s="175"/>
      <c r="K34" s="175"/>
      <c r="L34" s="175"/>
      <c r="M34" s="172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>
        <v>416002400</v>
      </c>
      <c r="AI34" s="165"/>
      <c r="AJ34" s="234">
        <f>SUM(AI31:AI34)</f>
        <v>0</v>
      </c>
      <c r="AK34" s="184"/>
      <c r="AL34" s="185"/>
    </row>
    <row r="35" spans="1:38">
      <c r="A35" s="166" t="s">
        <v>24</v>
      </c>
      <c r="B35" s="191"/>
      <c r="C35" s="171"/>
      <c r="D35" s="171"/>
      <c r="E35" s="171"/>
      <c r="F35" s="171"/>
      <c r="G35" s="172"/>
      <c r="H35" s="171"/>
      <c r="I35" s="171"/>
      <c r="J35" s="171"/>
      <c r="K35" s="171"/>
      <c r="L35" s="171"/>
      <c r="M35" s="172"/>
      <c r="N35" s="172"/>
      <c r="O35" s="171"/>
      <c r="P35" s="172"/>
      <c r="Q35" s="171"/>
      <c r="R35" s="171"/>
      <c r="S35" s="171"/>
      <c r="T35" s="171"/>
      <c r="U35" s="172"/>
      <c r="V35" s="171"/>
      <c r="W35" s="171"/>
      <c r="X35" s="171"/>
      <c r="Y35" s="171"/>
      <c r="Z35" s="171">
        <f>3500140-695785</f>
        <v>2804355</v>
      </c>
      <c r="AA35" s="171"/>
      <c r="AB35" s="171"/>
      <c r="AC35" s="171"/>
      <c r="AD35" s="171"/>
      <c r="AE35" s="171"/>
      <c r="AF35" s="171"/>
      <c r="AG35" s="171"/>
      <c r="AH35" s="171"/>
      <c r="AI35" s="165"/>
      <c r="AJ35" s="235"/>
      <c r="AK35" s="189"/>
    </row>
    <row r="36" spans="1:38">
      <c r="A36" s="166" t="s">
        <v>618</v>
      </c>
      <c r="B36" s="191"/>
      <c r="C36" s="175"/>
      <c r="D36" s="175"/>
      <c r="E36" s="175"/>
      <c r="F36" s="175"/>
      <c r="G36" s="172">
        <v>52327453</v>
      </c>
      <c r="H36" s="175"/>
      <c r="I36" s="175"/>
      <c r="J36" s="172"/>
      <c r="K36" s="175"/>
      <c r="L36" s="175"/>
      <c r="M36" s="172"/>
      <c r="N36" s="172">
        <f>99842383-105094</f>
        <v>99737289</v>
      </c>
      <c r="O36" s="175"/>
      <c r="P36" s="172"/>
      <c r="Q36" s="175"/>
      <c r="R36" s="175"/>
      <c r="S36" s="175"/>
      <c r="T36" s="172"/>
      <c r="U36" s="172">
        <v>64538643</v>
      </c>
      <c r="V36" s="175"/>
      <c r="W36" s="175"/>
      <c r="X36" s="172"/>
      <c r="Y36" s="175"/>
      <c r="Z36" s="172"/>
      <c r="AA36" s="175"/>
      <c r="AB36" s="175"/>
      <c r="AC36" s="175"/>
      <c r="AD36" s="175"/>
      <c r="AE36" s="175"/>
      <c r="AF36" s="175"/>
      <c r="AG36" s="175"/>
      <c r="AH36" s="175"/>
      <c r="AI36" s="165"/>
      <c r="AJ36" s="234"/>
      <c r="AK36" s="189"/>
    </row>
    <row r="37" spans="1:38">
      <c r="A37" s="166" t="s">
        <v>493</v>
      </c>
      <c r="B37" s="191"/>
      <c r="C37" s="171"/>
      <c r="D37" s="171"/>
      <c r="E37" s="171"/>
      <c r="F37" s="171">
        <v>245574148</v>
      </c>
      <c r="G37" s="172"/>
      <c r="H37" s="171"/>
      <c r="I37" s="171"/>
      <c r="J37" s="171"/>
      <c r="K37" s="171"/>
      <c r="L37" s="171"/>
      <c r="M37" s="172"/>
      <c r="N37" s="172"/>
      <c r="O37" s="171"/>
      <c r="P37" s="172"/>
      <c r="Q37" s="171">
        <v>217327599</v>
      </c>
      <c r="R37" s="171"/>
      <c r="S37" s="171"/>
      <c r="T37" s="171"/>
      <c r="U37" s="172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65"/>
      <c r="AJ37" s="234"/>
      <c r="AK37" s="189"/>
    </row>
    <row r="38" spans="1:38">
      <c r="A38" s="166" t="s">
        <v>333</v>
      </c>
      <c r="B38" s="191"/>
      <c r="C38" s="328"/>
      <c r="D38" s="328"/>
      <c r="E38" s="328"/>
      <c r="F38" s="328"/>
      <c r="G38" s="337"/>
      <c r="H38" s="328"/>
      <c r="I38" s="167"/>
      <c r="J38" s="328"/>
      <c r="K38" s="328"/>
      <c r="L38" s="167"/>
      <c r="M38" s="337"/>
      <c r="N38" s="337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328"/>
      <c r="AA38" s="328"/>
      <c r="AB38" s="328"/>
      <c r="AC38" s="328"/>
      <c r="AD38" s="328"/>
      <c r="AE38" s="328"/>
      <c r="AF38" s="328"/>
      <c r="AG38" s="328"/>
      <c r="AH38" s="328">
        <v>61003007</v>
      </c>
      <c r="AI38" s="165"/>
      <c r="AJ38" s="233"/>
    </row>
    <row r="39" spans="1:38">
      <c r="A39" s="166" t="s">
        <v>539</v>
      </c>
      <c r="B39" s="191"/>
      <c r="C39" s="328"/>
      <c r="D39" s="328"/>
      <c r="E39" s="328"/>
      <c r="F39" s="328"/>
      <c r="G39" s="328"/>
      <c r="H39" s="328"/>
      <c r="I39" s="167"/>
      <c r="J39" s="328"/>
      <c r="K39" s="328"/>
      <c r="L39" s="167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8"/>
      <c r="AE39" s="328"/>
      <c r="AF39" s="328"/>
      <c r="AG39" s="328"/>
      <c r="AH39" s="328">
        <f>127319117+12869993+149745116</f>
        <v>289934226</v>
      </c>
      <c r="AI39" s="165"/>
      <c r="AJ39" s="233"/>
    </row>
    <row r="40" spans="1:38">
      <c r="A40" s="166" t="s">
        <v>336</v>
      </c>
      <c r="B40" s="191"/>
      <c r="C40" s="328"/>
      <c r="D40" s="328"/>
      <c r="E40" s="328"/>
      <c r="F40" s="328"/>
      <c r="G40" s="328"/>
      <c r="H40" s="328"/>
      <c r="I40" s="167"/>
      <c r="J40" s="328"/>
      <c r="K40" s="328"/>
      <c r="L40" s="167"/>
      <c r="M40" s="328"/>
      <c r="N40" s="328"/>
      <c r="O40" s="328"/>
      <c r="P40" s="328"/>
      <c r="Q40" s="328"/>
      <c r="R40" s="328"/>
      <c r="S40" s="328"/>
      <c r="T40" s="328"/>
      <c r="U40" s="328"/>
      <c r="V40" s="328"/>
      <c r="W40" s="328"/>
      <c r="X40" s="328"/>
      <c r="Y40" s="328"/>
      <c r="Z40" s="328"/>
      <c r="AA40" s="328"/>
      <c r="AB40" s="328"/>
      <c r="AC40" s="328"/>
      <c r="AD40" s="328"/>
      <c r="AE40" s="328"/>
      <c r="AF40" s="328"/>
      <c r="AG40" s="328"/>
      <c r="AH40" s="328">
        <v>30744983</v>
      </c>
      <c r="AI40" s="165"/>
      <c r="AJ40" s="233">
        <f>SUM(AI38:AI40)</f>
        <v>0</v>
      </c>
    </row>
    <row r="41" spans="1:38">
      <c r="A41" s="166" t="s">
        <v>337</v>
      </c>
      <c r="B41" s="191"/>
      <c r="C41" s="168"/>
      <c r="D41" s="168"/>
      <c r="E41" s="168"/>
      <c r="F41" s="168"/>
      <c r="G41" s="168"/>
      <c r="H41" s="168"/>
      <c r="I41" s="273"/>
      <c r="J41" s="168">
        <v>146314980</v>
      </c>
      <c r="K41" s="168"/>
      <c r="L41" s="273">
        <v>110426400</v>
      </c>
      <c r="M41" s="168"/>
      <c r="N41" s="168">
        <v>35888580</v>
      </c>
      <c r="O41" s="168"/>
      <c r="P41" s="273"/>
      <c r="Q41" s="273">
        <f>35888580-7742334</f>
        <v>28146246</v>
      </c>
      <c r="R41" s="168"/>
      <c r="S41" s="168"/>
      <c r="T41" s="273">
        <v>37544976</v>
      </c>
      <c r="U41" s="168"/>
      <c r="V41" s="168"/>
      <c r="W41" s="168"/>
      <c r="X41" s="168"/>
      <c r="Y41" s="168"/>
      <c r="Z41" s="273">
        <v>143554320</v>
      </c>
      <c r="AA41" s="273"/>
      <c r="AB41" s="168"/>
      <c r="AC41" s="168"/>
      <c r="AD41" s="168"/>
      <c r="AE41" s="168">
        <v>33127920</v>
      </c>
      <c r="AF41" s="168"/>
      <c r="AG41" s="168"/>
      <c r="AH41" s="168"/>
      <c r="AI41" s="165"/>
      <c r="AJ41" s="233"/>
    </row>
    <row r="42" spans="1:38">
      <c r="A42" s="166" t="s">
        <v>650</v>
      </c>
      <c r="B42" s="191"/>
      <c r="C42" s="168"/>
      <c r="D42" s="168"/>
      <c r="E42" s="168"/>
      <c r="F42" s="168"/>
      <c r="G42" s="168"/>
      <c r="H42" s="168"/>
      <c r="I42" s="273"/>
      <c r="J42" s="168"/>
      <c r="K42" s="168"/>
      <c r="L42" s="273"/>
      <c r="M42" s="168"/>
      <c r="N42" s="168"/>
      <c r="O42" s="168"/>
      <c r="P42" s="273"/>
      <c r="Q42" s="273"/>
      <c r="R42" s="168"/>
      <c r="S42" s="168"/>
      <c r="T42" s="273"/>
      <c r="U42" s="168"/>
      <c r="V42" s="168"/>
      <c r="W42" s="168"/>
      <c r="X42" s="168"/>
      <c r="Y42" s="168"/>
      <c r="Z42" s="273"/>
      <c r="AA42" s="273"/>
      <c r="AB42" s="168"/>
      <c r="AC42" s="168"/>
      <c r="AD42" s="168"/>
      <c r="AE42" s="168"/>
      <c r="AF42" s="168"/>
      <c r="AG42" s="168"/>
      <c r="AH42" s="168"/>
      <c r="AI42" s="165"/>
      <c r="AJ42" s="233"/>
    </row>
    <row r="43" spans="1:38">
      <c r="A43" s="166" t="s">
        <v>672</v>
      </c>
      <c r="B43" s="191"/>
      <c r="C43" s="328"/>
      <c r="D43" s="328"/>
      <c r="E43" s="328"/>
      <c r="F43" s="328"/>
      <c r="G43" s="328"/>
      <c r="H43" s="328"/>
      <c r="I43" s="167"/>
      <c r="J43" s="328"/>
      <c r="K43" s="328"/>
      <c r="L43" s="167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  <c r="AG43" s="328"/>
      <c r="AH43" s="328">
        <v>108652171</v>
      </c>
      <c r="AI43" s="165"/>
      <c r="AJ43" s="233"/>
    </row>
    <row r="44" spans="1:38">
      <c r="A44" s="166" t="s">
        <v>673</v>
      </c>
      <c r="B44" s="191"/>
      <c r="C44" s="328"/>
      <c r="D44" s="328"/>
      <c r="E44" s="328"/>
      <c r="F44" s="328"/>
      <c r="G44" s="328"/>
      <c r="H44" s="328"/>
      <c r="I44" s="167"/>
      <c r="J44" s="328"/>
      <c r="K44" s="328"/>
      <c r="L44" s="167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8">
        <v>572491141</v>
      </c>
      <c r="AI44" s="165"/>
      <c r="AJ44" s="233"/>
    </row>
    <row r="45" spans="1:38">
      <c r="A45" s="166" t="s">
        <v>674</v>
      </c>
      <c r="B45" s="191"/>
      <c r="C45" s="328"/>
      <c r="D45" s="328"/>
      <c r="E45" s="328"/>
      <c r="F45" s="328"/>
      <c r="G45" s="328"/>
      <c r="H45" s="328"/>
      <c r="I45" s="167"/>
      <c r="J45" s="328"/>
      <c r="K45" s="328"/>
      <c r="L45" s="167"/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8"/>
      <c r="AB45" s="328"/>
      <c r="AC45" s="328"/>
      <c r="AD45" s="328"/>
      <c r="AE45" s="328"/>
      <c r="AF45" s="328"/>
      <c r="AG45" s="328"/>
      <c r="AH45" s="328">
        <v>97350602</v>
      </c>
      <c r="AI45" s="165"/>
      <c r="AJ45" s="233"/>
    </row>
    <row r="46" spans="1:38">
      <c r="A46" s="166" t="s">
        <v>27</v>
      </c>
      <c r="B46" s="191"/>
      <c r="C46" s="273"/>
      <c r="D46" s="273"/>
      <c r="E46" s="273"/>
      <c r="F46" s="273"/>
      <c r="G46" s="273"/>
      <c r="H46" s="273"/>
      <c r="I46" s="171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165"/>
      <c r="AJ46" s="233"/>
    </row>
    <row r="47" spans="1:38">
      <c r="A47" s="166" t="s">
        <v>30</v>
      </c>
      <c r="B47" s="19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0"/>
      <c r="Q47" s="170"/>
      <c r="R47" s="171"/>
      <c r="S47" s="171"/>
      <c r="T47" s="170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65"/>
      <c r="AJ47" s="170"/>
    </row>
    <row r="48" spans="1:38">
      <c r="A48" s="166" t="s">
        <v>347</v>
      </c>
      <c r="B48" s="191"/>
      <c r="C48" s="171"/>
      <c r="D48" s="171"/>
      <c r="E48" s="171">
        <f>128519685-579825</f>
        <v>127939860</v>
      </c>
      <c r="F48" s="171">
        <v>55079865</v>
      </c>
      <c r="G48" s="171">
        <v>183600</v>
      </c>
      <c r="H48" s="171"/>
      <c r="I48" s="171"/>
      <c r="J48" s="273"/>
      <c r="K48" s="171"/>
      <c r="L48" s="171"/>
      <c r="M48" s="171"/>
      <c r="N48" s="171"/>
      <c r="O48" s="171"/>
      <c r="P48" s="170"/>
      <c r="Q48" s="170"/>
      <c r="R48" s="171"/>
      <c r="S48" s="171"/>
      <c r="T48" s="170"/>
      <c r="U48" s="171"/>
      <c r="V48" s="171"/>
      <c r="W48" s="171"/>
      <c r="X48" s="171"/>
      <c r="Y48" s="171"/>
      <c r="Z48" s="273"/>
      <c r="AA48" s="273"/>
      <c r="AB48" s="171"/>
      <c r="AC48" s="171"/>
      <c r="AD48" s="171"/>
      <c r="AE48" s="171"/>
      <c r="AF48" s="171"/>
      <c r="AG48" s="171"/>
      <c r="AH48" s="171"/>
      <c r="AI48" s="165"/>
      <c r="AJ48" s="170"/>
    </row>
    <row r="49" spans="1:36">
      <c r="A49" s="192" t="s">
        <v>476</v>
      </c>
      <c r="B49" s="191"/>
      <c r="C49" s="171"/>
      <c r="D49" s="171"/>
      <c r="E49" s="171"/>
      <c r="F49" s="171"/>
      <c r="G49" s="171">
        <v>3225000</v>
      </c>
      <c r="H49" s="171"/>
      <c r="I49" s="171"/>
      <c r="J49" s="273"/>
      <c r="K49" s="171"/>
      <c r="L49" s="171"/>
      <c r="M49" s="171"/>
      <c r="N49" s="171"/>
      <c r="O49" s="171"/>
      <c r="P49" s="273"/>
      <c r="Q49" s="273"/>
      <c r="R49" s="171"/>
      <c r="S49" s="171"/>
      <c r="T49" s="273"/>
      <c r="U49" s="171"/>
      <c r="V49" s="171"/>
      <c r="W49" s="171"/>
      <c r="X49" s="172"/>
      <c r="Y49" s="171"/>
      <c r="Z49" s="273"/>
      <c r="AA49" s="273"/>
      <c r="AB49" s="171"/>
      <c r="AC49" s="171"/>
      <c r="AD49" s="171"/>
      <c r="AE49" s="171"/>
      <c r="AF49" s="171"/>
      <c r="AG49" s="171"/>
      <c r="AH49" s="171"/>
      <c r="AI49" s="165"/>
      <c r="AJ49" s="167"/>
    </row>
    <row r="50" spans="1:36">
      <c r="A50" s="192" t="s">
        <v>693</v>
      </c>
      <c r="B50" s="191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>
        <v>633125209</v>
      </c>
      <c r="AI50" s="165"/>
      <c r="AJ50" s="167"/>
    </row>
    <row r="51" spans="1:36">
      <c r="A51" s="192" t="s">
        <v>670</v>
      </c>
      <c r="B51" s="191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2"/>
      <c r="Y51" s="175"/>
      <c r="Z51" s="175"/>
      <c r="AA51" s="175"/>
      <c r="AB51" s="175"/>
      <c r="AC51" s="175"/>
      <c r="AD51" s="175"/>
      <c r="AE51" s="175"/>
      <c r="AF51" s="175"/>
      <c r="AG51" s="175"/>
      <c r="AH51" s="175">
        <f>35000000*5</f>
        <v>175000000</v>
      </c>
      <c r="AI51" s="165"/>
      <c r="AJ51" s="167"/>
    </row>
    <row r="52" spans="1:36">
      <c r="A52" s="192" t="s">
        <v>213</v>
      </c>
      <c r="B52" s="191"/>
      <c r="C52" s="273"/>
      <c r="D52" s="273"/>
      <c r="E52" s="273"/>
      <c r="F52" s="273"/>
      <c r="G52" s="273">
        <v>500000000</v>
      </c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>
        <v>3500000000</v>
      </c>
      <c r="Y52" s="273"/>
      <c r="Z52" s="273"/>
      <c r="AA52" s="273"/>
      <c r="AB52" s="273"/>
      <c r="AC52" s="273"/>
      <c r="AD52" s="273"/>
      <c r="AE52" s="273"/>
      <c r="AF52" s="273"/>
      <c r="AG52" s="273"/>
      <c r="AH52" s="273"/>
      <c r="AI52" s="165"/>
      <c r="AJ52" s="167"/>
    </row>
    <row r="53" spans="1:36">
      <c r="A53" s="192" t="s">
        <v>705</v>
      </c>
      <c r="B53" s="191"/>
      <c r="C53" s="273"/>
      <c r="D53" s="273"/>
      <c r="E53" s="273"/>
      <c r="F53" s="273"/>
      <c r="G53" s="273"/>
      <c r="H53" s="273"/>
      <c r="I53" s="273"/>
      <c r="J53" s="273"/>
      <c r="K53" s="273"/>
      <c r="L53" s="273">
        <v>19500000</v>
      </c>
      <c r="M53" s="273"/>
      <c r="N53" s="273"/>
      <c r="O53" s="273"/>
      <c r="P53" s="273"/>
      <c r="Q53" s="273"/>
      <c r="R53" s="273">
        <v>16552661</v>
      </c>
      <c r="S53" s="273"/>
      <c r="T53" s="273"/>
      <c r="U53" s="273"/>
      <c r="V53" s="273"/>
      <c r="W53" s="273"/>
      <c r="X53" s="273">
        <v>225000000</v>
      </c>
      <c r="Y53" s="273"/>
      <c r="Z53" s="273"/>
      <c r="AA53" s="273"/>
      <c r="AB53" s="273"/>
      <c r="AC53" s="273"/>
      <c r="AD53" s="273"/>
      <c r="AE53" s="273"/>
      <c r="AF53" s="273"/>
      <c r="AG53" s="273"/>
      <c r="AH53" s="273"/>
      <c r="AI53" s="165"/>
      <c r="AJ53" s="167"/>
    </row>
    <row r="54" spans="1:36">
      <c r="A54" s="192" t="s">
        <v>613</v>
      </c>
      <c r="B54" s="191"/>
      <c r="C54" s="273"/>
      <c r="D54" s="273"/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273"/>
      <c r="W54" s="273"/>
      <c r="X54" s="273">
        <v>14200000000</v>
      </c>
      <c r="Y54" s="273"/>
      <c r="Z54" s="273"/>
      <c r="AA54" s="273"/>
      <c r="AB54" s="273"/>
      <c r="AC54" s="273"/>
      <c r="AD54" s="273"/>
      <c r="AE54" s="273"/>
      <c r="AF54" s="273"/>
      <c r="AG54" s="273"/>
      <c r="AH54" s="273"/>
      <c r="AI54" s="165"/>
      <c r="AJ54" s="167"/>
    </row>
    <row r="55" spans="1:36">
      <c r="A55" s="192" t="s">
        <v>119</v>
      </c>
      <c r="B55" s="191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2"/>
      <c r="U55" s="172"/>
      <c r="V55" s="175"/>
      <c r="W55" s="175"/>
      <c r="X55" s="172"/>
      <c r="Y55" s="172"/>
      <c r="Z55" s="175"/>
      <c r="AA55" s="175"/>
      <c r="AB55" s="172"/>
      <c r="AC55" s="175"/>
      <c r="AD55" s="175"/>
      <c r="AE55" s="175"/>
      <c r="AF55" s="175">
        <v>3000000000</v>
      </c>
      <c r="AG55" s="175"/>
      <c r="AH55" s="175">
        <v>1240000000</v>
      </c>
      <c r="AI55" s="165"/>
      <c r="AJ55" s="175"/>
    </row>
    <row r="56" spans="1:36">
      <c r="A56" s="195" t="s">
        <v>32</v>
      </c>
      <c r="B56" s="196"/>
      <c r="C56" s="197">
        <f t="shared" ref="C56:AI56" si="0">SUM(C7:C55)</f>
        <v>243011402</v>
      </c>
      <c r="D56" s="197">
        <f t="shared" si="0"/>
        <v>118496080</v>
      </c>
      <c r="E56" s="197">
        <f t="shared" si="0"/>
        <v>127939860</v>
      </c>
      <c r="F56" s="197">
        <f t="shared" si="0"/>
        <v>725428616</v>
      </c>
      <c r="G56" s="197">
        <f t="shared" si="0"/>
        <v>740701595</v>
      </c>
      <c r="H56" s="197">
        <f t="shared" si="0"/>
        <v>0</v>
      </c>
      <c r="I56" s="197">
        <f t="shared" si="0"/>
        <v>0</v>
      </c>
      <c r="J56" s="197">
        <f t="shared" si="0"/>
        <v>615371618</v>
      </c>
      <c r="K56" s="197">
        <f t="shared" si="0"/>
        <v>0</v>
      </c>
      <c r="L56" s="197">
        <f t="shared" si="0"/>
        <v>129926400</v>
      </c>
      <c r="M56" s="197">
        <f t="shared" si="0"/>
        <v>0</v>
      </c>
      <c r="N56" s="197">
        <f>SUM(N7:N55)</f>
        <v>135625869</v>
      </c>
      <c r="O56" s="197">
        <f t="shared" si="0"/>
        <v>0</v>
      </c>
      <c r="P56" s="197">
        <f t="shared" si="0"/>
        <v>0</v>
      </c>
      <c r="Q56" s="197">
        <f t="shared" si="0"/>
        <v>390251994</v>
      </c>
      <c r="R56" s="197">
        <f t="shared" si="0"/>
        <v>16552661</v>
      </c>
      <c r="S56" s="197">
        <f t="shared" si="0"/>
        <v>0</v>
      </c>
      <c r="T56" s="197">
        <f>SUM(T7:T55)</f>
        <v>90901845</v>
      </c>
      <c r="U56" s="197">
        <f t="shared" si="0"/>
        <v>173444616</v>
      </c>
      <c r="V56" s="197">
        <f t="shared" si="0"/>
        <v>0</v>
      </c>
      <c r="W56" s="197">
        <f t="shared" si="0"/>
        <v>0</v>
      </c>
      <c r="X56" s="197">
        <f>SUM(X7:X55)</f>
        <v>18485871491</v>
      </c>
      <c r="Y56" s="197">
        <f t="shared" si="0"/>
        <v>0</v>
      </c>
      <c r="Z56" s="197">
        <f t="shared" si="0"/>
        <v>381721769</v>
      </c>
      <c r="AA56" s="197">
        <f t="shared" si="0"/>
        <v>158757386</v>
      </c>
      <c r="AB56" s="197">
        <f t="shared" si="0"/>
        <v>660803637</v>
      </c>
      <c r="AC56" s="197">
        <f t="shared" si="0"/>
        <v>0</v>
      </c>
      <c r="AD56" s="197">
        <f t="shared" si="0"/>
        <v>0</v>
      </c>
      <c r="AE56" s="197">
        <f t="shared" si="0"/>
        <v>69912783</v>
      </c>
      <c r="AF56" s="197">
        <f t="shared" si="0"/>
        <v>3000000000</v>
      </c>
      <c r="AG56" s="197">
        <f t="shared" si="0"/>
        <v>510018191</v>
      </c>
      <c r="AH56" s="197">
        <f t="shared" si="0"/>
        <v>5056569229</v>
      </c>
      <c r="AI56" s="197">
        <f t="shared" si="0"/>
        <v>0</v>
      </c>
    </row>
    <row r="57" spans="1:36">
      <c r="A57" s="199"/>
      <c r="B57" s="162"/>
      <c r="C57" s="190">
        <v>0</v>
      </c>
      <c r="D57" s="190">
        <v>0</v>
      </c>
      <c r="E57" s="190">
        <v>0</v>
      </c>
      <c r="F57" s="165"/>
      <c r="G57" s="165"/>
      <c r="H57" s="165"/>
      <c r="I57" s="165"/>
      <c r="J57" s="200"/>
      <c r="K57" s="200"/>
      <c r="L57" s="165"/>
      <c r="M57" s="165"/>
      <c r="N57" s="165"/>
      <c r="O57" s="200"/>
      <c r="P57" s="165"/>
      <c r="Q57" s="165"/>
      <c r="R57" s="165"/>
      <c r="S57" s="165"/>
      <c r="T57" s="165"/>
      <c r="U57" s="165"/>
      <c r="V57" s="165"/>
      <c r="W57" s="190">
        <v>0</v>
      </c>
      <c r="X57" s="190">
        <v>0</v>
      </c>
      <c r="Y57" s="190">
        <v>0</v>
      </c>
      <c r="Z57" s="190">
        <v>0</v>
      </c>
      <c r="AA57" s="190">
        <v>0</v>
      </c>
      <c r="AB57" s="190">
        <v>0</v>
      </c>
      <c r="AC57" s="165"/>
      <c r="AD57" s="165"/>
      <c r="AE57" s="165"/>
      <c r="AF57" s="165"/>
      <c r="AG57" s="165"/>
      <c r="AH57" s="165"/>
      <c r="AI57" s="201"/>
      <c r="AJ57" s="154"/>
    </row>
    <row r="58" spans="1:36">
      <c r="A58" s="202" t="s">
        <v>33</v>
      </c>
      <c r="B58" s="162"/>
      <c r="C58" s="165"/>
      <c r="D58" s="200"/>
      <c r="E58" s="200"/>
      <c r="F58" s="165"/>
      <c r="G58" s="165"/>
      <c r="H58" s="165"/>
      <c r="I58" s="165"/>
      <c r="J58" s="200"/>
      <c r="K58" s="200"/>
      <c r="L58" s="165"/>
      <c r="M58" s="165"/>
      <c r="N58" s="165"/>
      <c r="O58" s="200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200"/>
      <c r="AB58" s="200"/>
      <c r="AC58" s="165"/>
      <c r="AD58" s="165"/>
      <c r="AE58" s="165"/>
      <c r="AF58" s="165"/>
      <c r="AG58" s="165"/>
      <c r="AH58" s="165"/>
      <c r="AI58" s="201">
        <f t="shared" ref="AI58:AI82" si="1">SUM(B58:AG58)</f>
        <v>0</v>
      </c>
      <c r="AJ58" s="154"/>
    </row>
    <row r="59" spans="1:36">
      <c r="A59" s="203" t="s">
        <v>34</v>
      </c>
      <c r="B59" s="204"/>
      <c r="C59" s="164"/>
      <c r="D59" s="164"/>
      <c r="E59" s="164"/>
      <c r="F59" s="164"/>
      <c r="G59" s="164"/>
      <c r="H59" s="164"/>
      <c r="I59" s="164"/>
      <c r="J59" s="164"/>
      <c r="K59" s="164"/>
      <c r="L59" s="164">
        <v>3767762134</v>
      </c>
      <c r="M59" s="164"/>
      <c r="N59" s="164"/>
      <c r="O59" s="208"/>
      <c r="P59" s="164"/>
      <c r="Q59" s="164">
        <v>959221055</v>
      </c>
      <c r="R59" s="164"/>
      <c r="S59" s="164"/>
      <c r="T59" s="164">
        <v>1064959468</v>
      </c>
      <c r="U59" s="306"/>
      <c r="V59" s="164"/>
      <c r="W59" s="190"/>
      <c r="X59" s="164"/>
      <c r="Y59" s="164"/>
      <c r="Z59" s="164"/>
      <c r="AA59" s="164">
        <v>2671292890</v>
      </c>
      <c r="AB59" s="164"/>
      <c r="AC59" s="164"/>
      <c r="AD59" s="164"/>
      <c r="AE59" s="164"/>
      <c r="AF59" s="164">
        <v>1199009958</v>
      </c>
      <c r="AG59" s="164"/>
      <c r="AH59" s="190"/>
      <c r="AI59" s="201">
        <f t="shared" si="1"/>
        <v>9662245505</v>
      </c>
      <c r="AJ59" s="173"/>
    </row>
    <row r="60" spans="1:36">
      <c r="A60" s="203" t="s">
        <v>34</v>
      </c>
      <c r="B60" s="204"/>
      <c r="C60" s="164"/>
      <c r="D60" s="164"/>
      <c r="E60" s="164"/>
      <c r="F60" s="164"/>
      <c r="G60" s="164"/>
      <c r="H60" s="164"/>
      <c r="I60" s="164"/>
      <c r="J60" s="164"/>
      <c r="K60" s="164"/>
      <c r="L60" s="164">
        <v>3482545573</v>
      </c>
      <c r="M60" s="164"/>
      <c r="N60" s="164"/>
      <c r="O60" s="208"/>
      <c r="P60" s="164"/>
      <c r="Q60" s="164"/>
      <c r="R60" s="164"/>
      <c r="S60" s="164"/>
      <c r="T60" s="164"/>
      <c r="U60" s="306"/>
      <c r="V60" s="164"/>
      <c r="W60" s="190"/>
      <c r="X60" s="164"/>
      <c r="Y60" s="164"/>
      <c r="Z60" s="164"/>
      <c r="AA60" s="164"/>
      <c r="AB60" s="164"/>
      <c r="AC60" s="164"/>
      <c r="AD60" s="164"/>
      <c r="AE60" s="164"/>
      <c r="AF60" s="164">
        <v>3931288271</v>
      </c>
      <c r="AG60" s="164"/>
      <c r="AH60" s="190"/>
      <c r="AI60" s="201"/>
      <c r="AJ60" s="173"/>
    </row>
    <row r="61" spans="1:36">
      <c r="A61" s="203" t="s">
        <v>198</v>
      </c>
      <c r="B61" s="204"/>
      <c r="C61" s="164"/>
      <c r="D61" s="164"/>
      <c r="E61" s="164"/>
      <c r="F61" s="164"/>
      <c r="G61" s="164"/>
      <c r="H61" s="190"/>
      <c r="I61" s="164"/>
      <c r="J61" s="164"/>
      <c r="K61" s="164"/>
      <c r="L61" s="164">
        <v>34768264</v>
      </c>
      <c r="M61" s="164"/>
      <c r="N61" s="164"/>
      <c r="O61" s="208"/>
      <c r="P61" s="164"/>
      <c r="Q61" s="164"/>
      <c r="R61" s="164"/>
      <c r="S61" s="164"/>
      <c r="T61" s="164"/>
      <c r="U61" s="306"/>
      <c r="V61" s="164"/>
      <c r="W61" s="190"/>
      <c r="X61" s="164"/>
      <c r="Y61" s="164"/>
      <c r="Z61" s="164"/>
      <c r="AA61" s="164">
        <v>13622255</v>
      </c>
      <c r="AB61" s="164"/>
      <c r="AC61" s="164"/>
      <c r="AD61" s="164"/>
      <c r="AE61" s="190"/>
      <c r="AF61" s="164"/>
      <c r="AG61" s="164"/>
      <c r="AH61" s="190"/>
      <c r="AI61" s="201">
        <f t="shared" si="1"/>
        <v>48390519</v>
      </c>
      <c r="AJ61" s="173"/>
    </row>
    <row r="62" spans="1:36">
      <c r="A62" s="203" t="s">
        <v>227</v>
      </c>
      <c r="B62" s="204"/>
      <c r="C62" s="164">
        <v>4763071334</v>
      </c>
      <c r="D62" s="164"/>
      <c r="E62" s="164"/>
      <c r="F62" s="164">
        <v>3828395745</v>
      </c>
      <c r="G62" s="164"/>
      <c r="H62" s="306"/>
      <c r="I62" s="164"/>
      <c r="J62" s="164"/>
      <c r="K62" s="164"/>
      <c r="L62" s="164">
        <v>1179344063</v>
      </c>
      <c r="M62" s="164"/>
      <c r="N62" s="164"/>
      <c r="O62" s="208"/>
      <c r="P62" s="164"/>
      <c r="Q62" s="164">
        <v>1457828244</v>
      </c>
      <c r="R62" s="164"/>
      <c r="S62" s="164"/>
      <c r="T62" s="164">
        <v>2996158914</v>
      </c>
      <c r="U62" s="306"/>
      <c r="V62" s="164"/>
      <c r="W62" s="190"/>
      <c r="X62" s="164"/>
      <c r="Y62" s="164"/>
      <c r="Z62" s="164"/>
      <c r="AA62" s="164"/>
      <c r="AB62" s="164"/>
      <c r="AC62" s="164"/>
      <c r="AD62" s="164"/>
      <c r="AE62" s="306"/>
      <c r="AF62" s="164"/>
      <c r="AG62" s="164"/>
      <c r="AH62" s="190"/>
      <c r="AI62" s="201">
        <f t="shared" si="1"/>
        <v>14224798300</v>
      </c>
      <c r="AJ62" s="173"/>
    </row>
    <row r="63" spans="1:36">
      <c r="A63" s="203" t="s">
        <v>227</v>
      </c>
      <c r="B63" s="204"/>
      <c r="C63" s="164">
        <v>4598676112</v>
      </c>
      <c r="D63" s="164"/>
      <c r="E63" s="164"/>
      <c r="F63" s="164">
        <v>2895987683</v>
      </c>
      <c r="G63" s="164"/>
      <c r="H63" s="306"/>
      <c r="I63" s="164"/>
      <c r="J63" s="164"/>
      <c r="K63" s="164"/>
      <c r="L63" s="164">
        <v>4869832522</v>
      </c>
      <c r="M63" s="164"/>
      <c r="N63" s="164"/>
      <c r="O63" s="208"/>
      <c r="P63" s="164"/>
      <c r="Q63" s="164"/>
      <c r="R63" s="164"/>
      <c r="S63" s="164"/>
      <c r="T63" s="164">
        <v>4042148340</v>
      </c>
      <c r="U63" s="306"/>
      <c r="V63" s="164"/>
      <c r="W63" s="190"/>
      <c r="X63" s="164"/>
      <c r="Y63" s="164"/>
      <c r="Z63" s="164"/>
      <c r="AA63" s="164"/>
      <c r="AB63" s="164"/>
      <c r="AC63" s="164"/>
      <c r="AD63" s="164"/>
      <c r="AE63" s="306"/>
      <c r="AF63" s="164"/>
      <c r="AG63" s="164"/>
      <c r="AH63" s="190"/>
      <c r="AI63" s="201"/>
      <c r="AJ63" s="173"/>
    </row>
    <row r="64" spans="1:36">
      <c r="A64" s="203" t="s">
        <v>227</v>
      </c>
      <c r="B64" s="204"/>
      <c r="C64" s="164">
        <v>4346266798</v>
      </c>
      <c r="D64" s="164"/>
      <c r="E64" s="164"/>
      <c r="F64" s="164"/>
      <c r="G64" s="164"/>
      <c r="H64" s="306"/>
      <c r="I64" s="164"/>
      <c r="J64" s="164"/>
      <c r="K64" s="164"/>
      <c r="L64" s="164"/>
      <c r="M64" s="164"/>
      <c r="N64" s="164"/>
      <c r="O64" s="208"/>
      <c r="P64" s="164"/>
      <c r="Q64" s="164"/>
      <c r="R64" s="164"/>
      <c r="S64" s="164"/>
      <c r="T64" s="164"/>
      <c r="U64" s="306"/>
      <c r="V64" s="164"/>
      <c r="W64" s="190"/>
      <c r="X64" s="164"/>
      <c r="Y64" s="164"/>
      <c r="Z64" s="164"/>
      <c r="AA64" s="164"/>
      <c r="AB64" s="164"/>
      <c r="AC64" s="164"/>
      <c r="AD64" s="164"/>
      <c r="AE64" s="306"/>
      <c r="AF64" s="164"/>
      <c r="AG64" s="164"/>
      <c r="AH64" s="190"/>
      <c r="AI64" s="201"/>
      <c r="AJ64" s="173"/>
    </row>
    <row r="65" spans="1:38">
      <c r="A65" s="203" t="s">
        <v>227</v>
      </c>
      <c r="B65" s="204"/>
      <c r="C65" s="164">
        <v>4277756754</v>
      </c>
      <c r="D65" s="164"/>
      <c r="E65" s="164"/>
      <c r="F65" s="164"/>
      <c r="G65" s="164"/>
      <c r="H65" s="306"/>
      <c r="I65" s="164"/>
      <c r="J65" s="164"/>
      <c r="K65" s="164"/>
      <c r="L65" s="164"/>
      <c r="M65" s="164"/>
      <c r="N65" s="164"/>
      <c r="O65" s="208"/>
      <c r="P65" s="164"/>
      <c r="Q65" s="164"/>
      <c r="R65" s="164"/>
      <c r="S65" s="164"/>
      <c r="T65" s="164"/>
      <c r="U65" s="306"/>
      <c r="V65" s="164"/>
      <c r="W65" s="190"/>
      <c r="X65" s="164"/>
      <c r="Y65" s="164"/>
      <c r="Z65" s="164"/>
      <c r="AA65" s="164"/>
      <c r="AB65" s="164"/>
      <c r="AC65" s="164"/>
      <c r="AD65" s="164"/>
      <c r="AE65" s="306"/>
      <c r="AF65" s="164"/>
      <c r="AG65" s="164"/>
      <c r="AH65" s="190"/>
      <c r="AI65" s="201"/>
      <c r="AJ65" s="173"/>
    </row>
    <row r="66" spans="1:38">
      <c r="A66" s="203" t="s">
        <v>227</v>
      </c>
      <c r="B66" s="204"/>
      <c r="C66" s="164">
        <v>1998714031</v>
      </c>
      <c r="D66" s="164"/>
      <c r="E66" s="164"/>
      <c r="F66" s="164"/>
      <c r="G66" s="164"/>
      <c r="H66" s="306"/>
      <c r="I66" s="164"/>
      <c r="J66" s="164"/>
      <c r="K66" s="164"/>
      <c r="L66" s="164"/>
      <c r="M66" s="164"/>
      <c r="N66" s="164"/>
      <c r="O66" s="208"/>
      <c r="P66" s="164"/>
      <c r="Q66" s="164"/>
      <c r="R66" s="164"/>
      <c r="S66" s="164"/>
      <c r="T66" s="164"/>
      <c r="U66" s="306"/>
      <c r="V66" s="164"/>
      <c r="W66" s="190"/>
      <c r="X66" s="164"/>
      <c r="Y66" s="164"/>
      <c r="Z66" s="164"/>
      <c r="AA66" s="164"/>
      <c r="AB66" s="164"/>
      <c r="AC66" s="164"/>
      <c r="AD66" s="164"/>
      <c r="AE66" s="306"/>
      <c r="AF66" s="164"/>
      <c r="AG66" s="164"/>
      <c r="AH66" s="190"/>
      <c r="AI66" s="201"/>
      <c r="AJ66" s="173"/>
    </row>
    <row r="67" spans="1:38">
      <c r="A67" s="203" t="s">
        <v>227</v>
      </c>
      <c r="B67" s="204"/>
      <c r="C67" s="164"/>
      <c r="D67" s="164"/>
      <c r="E67" s="164"/>
      <c r="F67" s="164"/>
      <c r="G67" s="164"/>
      <c r="H67" s="306"/>
      <c r="I67" s="164"/>
      <c r="J67" s="164"/>
      <c r="K67" s="164"/>
      <c r="L67" s="164"/>
      <c r="M67" s="164"/>
      <c r="N67" s="164"/>
      <c r="O67" s="208"/>
      <c r="P67" s="164"/>
      <c r="Q67" s="164"/>
      <c r="R67" s="164"/>
      <c r="S67" s="164"/>
      <c r="T67" s="164"/>
      <c r="U67" s="306"/>
      <c r="V67" s="164"/>
      <c r="W67" s="190"/>
      <c r="X67" s="164"/>
      <c r="Y67" s="164"/>
      <c r="Z67" s="164"/>
      <c r="AA67" s="164"/>
      <c r="AB67" s="164"/>
      <c r="AC67" s="164"/>
      <c r="AD67" s="164"/>
      <c r="AE67" s="306"/>
      <c r="AF67" s="164"/>
      <c r="AG67" s="164"/>
      <c r="AH67" s="190"/>
      <c r="AI67" s="201"/>
      <c r="AJ67" s="173"/>
    </row>
    <row r="68" spans="1:38">
      <c r="A68" s="203" t="s">
        <v>199</v>
      </c>
      <c r="B68" s="204"/>
      <c r="C68" s="164">
        <v>105466952</v>
      </c>
      <c r="D68" s="164"/>
      <c r="E68" s="164"/>
      <c r="F68" s="164">
        <v>36727598</v>
      </c>
      <c r="G68" s="172"/>
      <c r="H68" s="306"/>
      <c r="I68" s="164"/>
      <c r="J68" s="164"/>
      <c r="K68" s="164"/>
      <c r="L68" s="164">
        <v>32525262</v>
      </c>
      <c r="M68" s="164"/>
      <c r="N68" s="164"/>
      <c r="O68" s="208"/>
      <c r="P68" s="164"/>
      <c r="Q68" s="171"/>
      <c r="R68" s="164"/>
      <c r="S68" s="164"/>
      <c r="T68" s="164"/>
      <c r="U68" s="306"/>
      <c r="V68" s="164"/>
      <c r="W68" s="164"/>
      <c r="X68" s="164"/>
      <c r="Y68" s="164"/>
      <c r="Z68" s="164"/>
      <c r="AA68" s="164"/>
      <c r="AB68" s="164"/>
      <c r="AC68" s="164"/>
      <c r="AD68" s="172"/>
      <c r="AE68" s="306"/>
      <c r="AF68" s="208"/>
      <c r="AG68" s="164"/>
      <c r="AH68" s="190"/>
      <c r="AI68" s="201">
        <f t="shared" si="1"/>
        <v>174719812</v>
      </c>
      <c r="AJ68" s="173"/>
      <c r="AL68" s="150" t="s">
        <v>253</v>
      </c>
    </row>
    <row r="69" spans="1:38">
      <c r="A69" s="203" t="s">
        <v>228</v>
      </c>
      <c r="B69" s="204"/>
      <c r="C69" s="164"/>
      <c r="D69" s="164"/>
      <c r="E69" s="164"/>
      <c r="F69" s="164"/>
      <c r="G69" s="190"/>
      <c r="H69" s="164"/>
      <c r="I69" s="164"/>
      <c r="J69" s="164"/>
      <c r="K69" s="164"/>
      <c r="L69" s="308">
        <v>1170079033</v>
      </c>
      <c r="M69" s="164"/>
      <c r="N69" s="164"/>
      <c r="O69" s="208"/>
      <c r="P69" s="208"/>
      <c r="Q69" s="164"/>
      <c r="R69" s="164"/>
      <c r="S69" s="164"/>
      <c r="T69" s="164"/>
      <c r="U69" s="309"/>
      <c r="V69" s="190"/>
      <c r="W69" s="164"/>
      <c r="X69" s="164"/>
      <c r="Y69" s="164"/>
      <c r="Z69" s="164"/>
      <c r="AA69" s="164"/>
      <c r="AB69" s="164"/>
      <c r="AC69" s="164"/>
      <c r="AD69" s="164"/>
      <c r="AE69" s="164"/>
      <c r="AF69" s="208"/>
      <c r="AG69" s="164"/>
      <c r="AH69" s="190"/>
      <c r="AI69" s="201">
        <f t="shared" si="1"/>
        <v>1170079033</v>
      </c>
      <c r="AJ69" s="173"/>
    </row>
    <row r="70" spans="1:38">
      <c r="A70" s="203" t="s">
        <v>200</v>
      </c>
      <c r="B70" s="204"/>
      <c r="C70" s="164"/>
      <c r="D70" s="164"/>
      <c r="E70" s="164"/>
      <c r="F70" s="164"/>
      <c r="G70" s="190"/>
      <c r="H70" s="164"/>
      <c r="I70" s="164"/>
      <c r="J70" s="164"/>
      <c r="K70" s="164"/>
      <c r="L70" s="308">
        <v>6630448</v>
      </c>
      <c r="M70" s="164"/>
      <c r="N70" s="164"/>
      <c r="O70" s="208"/>
      <c r="P70" s="208"/>
      <c r="Q70" s="164"/>
      <c r="R70" s="164"/>
      <c r="S70" s="164"/>
      <c r="T70" s="164"/>
      <c r="U70" s="208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208"/>
      <c r="AG70" s="164"/>
      <c r="AH70" s="190"/>
      <c r="AI70" s="201">
        <f t="shared" si="1"/>
        <v>6630448</v>
      </c>
      <c r="AJ70" s="173"/>
    </row>
    <row r="71" spans="1:38">
      <c r="A71" s="203" t="s">
        <v>36</v>
      </c>
      <c r="B71" s="204"/>
      <c r="C71" s="164"/>
      <c r="D71" s="164"/>
      <c r="E71" s="164"/>
      <c r="F71" s="164"/>
      <c r="G71" s="190"/>
      <c r="H71" s="164"/>
      <c r="I71" s="164"/>
      <c r="J71" s="164"/>
      <c r="K71" s="164"/>
      <c r="L71" s="308"/>
      <c r="M71" s="164"/>
      <c r="N71" s="164"/>
      <c r="O71" s="208"/>
      <c r="P71" s="208"/>
      <c r="Q71" s="164">
        <v>1752050209</v>
      </c>
      <c r="R71" s="164"/>
      <c r="S71" s="164"/>
      <c r="T71" s="164">
        <v>1142063484</v>
      </c>
      <c r="U71" s="208"/>
      <c r="V71" s="164"/>
      <c r="W71" s="190"/>
      <c r="X71" s="164"/>
      <c r="Y71" s="164"/>
      <c r="Z71" s="164"/>
      <c r="AA71" s="164">
        <v>2592003979</v>
      </c>
      <c r="AB71" s="164"/>
      <c r="AC71" s="164"/>
      <c r="AD71" s="164"/>
      <c r="AE71" s="164"/>
      <c r="AF71" s="208">
        <v>423582000</v>
      </c>
      <c r="AG71" s="164"/>
      <c r="AH71" s="190"/>
      <c r="AI71" s="201">
        <f t="shared" si="1"/>
        <v>5909699672</v>
      </c>
      <c r="AJ71" s="173"/>
    </row>
    <row r="72" spans="1:38">
      <c r="A72" s="203" t="s">
        <v>242</v>
      </c>
      <c r="B72" s="204"/>
      <c r="C72" s="164"/>
      <c r="D72" s="164"/>
      <c r="E72" s="164"/>
      <c r="F72" s="164"/>
      <c r="G72" s="190"/>
      <c r="H72" s="164"/>
      <c r="I72" s="164"/>
      <c r="J72" s="164"/>
      <c r="K72" s="164"/>
      <c r="L72" s="308"/>
      <c r="M72" s="164"/>
      <c r="N72" s="164"/>
      <c r="O72" s="208"/>
      <c r="P72" s="208"/>
      <c r="Q72" s="164"/>
      <c r="R72" s="164"/>
      <c r="S72" s="164"/>
      <c r="T72" s="208"/>
      <c r="U72" s="208"/>
      <c r="V72" s="164"/>
      <c r="W72" s="164"/>
      <c r="X72" s="164"/>
      <c r="Y72" s="164"/>
      <c r="Z72" s="164"/>
      <c r="AA72" s="164">
        <v>10489745</v>
      </c>
      <c r="AB72" s="164"/>
      <c r="AC72" s="164"/>
      <c r="AD72" s="164"/>
      <c r="AE72" s="164"/>
      <c r="AF72" s="208"/>
      <c r="AG72" s="164"/>
      <c r="AH72" s="190"/>
      <c r="AI72" s="201">
        <f t="shared" si="1"/>
        <v>10489745</v>
      </c>
      <c r="AJ72" s="173"/>
    </row>
    <row r="73" spans="1:38">
      <c r="A73" s="162" t="s">
        <v>53</v>
      </c>
      <c r="B73" s="204"/>
      <c r="C73" s="164"/>
      <c r="D73" s="164"/>
      <c r="E73" s="164"/>
      <c r="F73" s="164"/>
      <c r="G73" s="164"/>
      <c r="H73" s="164"/>
      <c r="I73" s="164"/>
      <c r="J73" s="164"/>
      <c r="K73" s="164"/>
      <c r="L73" s="308"/>
      <c r="M73" s="164"/>
      <c r="N73" s="172"/>
      <c r="O73" s="172"/>
      <c r="P73" s="172"/>
      <c r="Q73" s="164"/>
      <c r="R73" s="164"/>
      <c r="S73" s="243"/>
      <c r="T73" s="208"/>
      <c r="U73" s="171"/>
      <c r="V73" s="177"/>
      <c r="W73" s="164"/>
      <c r="X73" s="171"/>
      <c r="Y73" s="171"/>
      <c r="Z73" s="164"/>
      <c r="AA73" s="164"/>
      <c r="AB73" s="164"/>
      <c r="AC73" s="164"/>
      <c r="AD73" s="164"/>
      <c r="AE73" s="164"/>
      <c r="AF73" s="208"/>
      <c r="AG73" s="164"/>
      <c r="AH73" s="164"/>
      <c r="AI73" s="201">
        <f t="shared" si="1"/>
        <v>0</v>
      </c>
      <c r="AJ73" s="173"/>
    </row>
    <row r="74" spans="1:38">
      <c r="A74" s="162" t="s">
        <v>54</v>
      </c>
      <c r="B74" s="204"/>
      <c r="C74" s="172"/>
      <c r="D74" s="164"/>
      <c r="E74" s="164"/>
      <c r="F74" s="164"/>
      <c r="G74" s="164"/>
      <c r="H74" s="164"/>
      <c r="I74" s="164"/>
      <c r="J74" s="164"/>
      <c r="K74" s="164"/>
      <c r="L74" s="310"/>
      <c r="M74" s="164"/>
      <c r="N74" s="164"/>
      <c r="O74" s="208"/>
      <c r="P74" s="172"/>
      <c r="Q74" s="164"/>
      <c r="R74" s="164"/>
      <c r="S74" s="164"/>
      <c r="T74" s="208"/>
      <c r="U74" s="208"/>
      <c r="V74" s="177"/>
      <c r="W74" s="172"/>
      <c r="X74" s="170"/>
      <c r="Y74" s="170"/>
      <c r="Z74" s="172"/>
      <c r="AA74" s="164"/>
      <c r="AB74" s="164"/>
      <c r="AC74" s="164"/>
      <c r="AD74" s="164"/>
      <c r="AE74" s="164"/>
      <c r="AF74" s="208"/>
      <c r="AG74" s="164"/>
      <c r="AH74" s="190"/>
      <c r="AI74" s="201">
        <f t="shared" si="1"/>
        <v>0</v>
      </c>
      <c r="AJ74" s="173">
        <v>1</v>
      </c>
    </row>
    <row r="75" spans="1:38">
      <c r="A75" s="162" t="s">
        <v>203</v>
      </c>
      <c r="B75" s="204"/>
      <c r="C75" s="172"/>
      <c r="D75" s="164"/>
      <c r="E75" s="164"/>
      <c r="F75" s="164"/>
      <c r="G75" s="164"/>
      <c r="H75" s="208"/>
      <c r="I75" s="208"/>
      <c r="J75" s="164"/>
      <c r="K75" s="164"/>
      <c r="L75" s="310"/>
      <c r="M75" s="164"/>
      <c r="N75" s="164"/>
      <c r="O75" s="208"/>
      <c r="P75" s="172"/>
      <c r="Q75" s="164"/>
      <c r="R75" s="164"/>
      <c r="S75" s="164"/>
      <c r="T75" s="208"/>
      <c r="U75" s="208"/>
      <c r="V75" s="171"/>
      <c r="W75" s="172"/>
      <c r="X75" s="170"/>
      <c r="Y75" s="170"/>
      <c r="Z75" s="172"/>
      <c r="AA75" s="164"/>
      <c r="AB75" s="164"/>
      <c r="AC75" s="164"/>
      <c r="AD75" s="164"/>
      <c r="AE75" s="208"/>
      <c r="AF75" s="208"/>
      <c r="AG75" s="164"/>
      <c r="AH75" s="190"/>
      <c r="AI75" s="201">
        <f t="shared" si="1"/>
        <v>0</v>
      </c>
      <c r="AJ75" s="173"/>
    </row>
    <row r="76" spans="1:38">
      <c r="A76" s="162" t="s">
        <v>37</v>
      </c>
      <c r="B76" s="204"/>
      <c r="C76" s="164"/>
      <c r="D76" s="171"/>
      <c r="E76" s="172">
        <v>3687212643</v>
      </c>
      <c r="F76" s="172"/>
      <c r="G76" s="164"/>
      <c r="H76" s="172"/>
      <c r="I76" s="172"/>
      <c r="J76" s="164"/>
      <c r="K76" s="164"/>
      <c r="L76" s="310"/>
      <c r="M76" s="164">
        <v>3687212643</v>
      </c>
      <c r="N76" s="164">
        <v>1707503587</v>
      </c>
      <c r="O76" s="208"/>
      <c r="P76" s="171"/>
      <c r="Q76" s="164">
        <v>1058248395</v>
      </c>
      <c r="R76" s="164">
        <v>1240795442</v>
      </c>
      <c r="S76" s="164"/>
      <c r="T76" s="208"/>
      <c r="U76" s="208">
        <f>2045621814+1643190355</f>
        <v>3688812169</v>
      </c>
      <c r="V76" s="208"/>
      <c r="W76" s="164"/>
      <c r="X76" s="171">
        <v>1774901485</v>
      </c>
      <c r="Y76" s="171"/>
      <c r="Z76" s="164"/>
      <c r="AA76" s="171">
        <v>1181995278</v>
      </c>
      <c r="AB76" s="172"/>
      <c r="AC76" s="172"/>
      <c r="AD76" s="164"/>
      <c r="AE76" s="172">
        <v>348418540</v>
      </c>
      <c r="AF76" s="175"/>
      <c r="AG76" s="164">
        <v>232286218</v>
      </c>
      <c r="AH76" s="164"/>
      <c r="AI76" s="201">
        <f t="shared" si="1"/>
        <v>18607386400</v>
      </c>
      <c r="AJ76" s="173"/>
    </row>
    <row r="77" spans="1:38">
      <c r="A77" s="162" t="s">
        <v>38</v>
      </c>
      <c r="B77" s="204"/>
      <c r="C77" s="172"/>
      <c r="D77" s="171"/>
      <c r="E77" s="172"/>
      <c r="F77" s="164"/>
      <c r="G77" s="164"/>
      <c r="H77" s="208"/>
      <c r="I77" s="208"/>
      <c r="J77" s="164"/>
      <c r="K77" s="172"/>
      <c r="L77" s="310"/>
      <c r="M77" s="164"/>
      <c r="N77" s="172"/>
      <c r="O77" s="172"/>
      <c r="P77" s="208"/>
      <c r="Q77" s="177"/>
      <c r="R77" s="171"/>
      <c r="S77" s="164"/>
      <c r="T77" s="171"/>
      <c r="U77" s="208"/>
      <c r="V77" s="208"/>
      <c r="W77" s="172"/>
      <c r="X77" s="171"/>
      <c r="Y77" s="171"/>
      <c r="Z77" s="172"/>
      <c r="AA77" s="171"/>
      <c r="AB77" s="172"/>
      <c r="AC77" s="164"/>
      <c r="AD77" s="164"/>
      <c r="AE77" s="208"/>
      <c r="AF77" s="171"/>
      <c r="AG77" s="170"/>
      <c r="AH77" s="170"/>
      <c r="AI77" s="201">
        <f t="shared" si="1"/>
        <v>0</v>
      </c>
      <c r="AJ77" s="173"/>
    </row>
    <row r="78" spans="1:38">
      <c r="A78" s="162" t="s">
        <v>540</v>
      </c>
      <c r="B78" s="204"/>
      <c r="C78" s="172">
        <v>73121076</v>
      </c>
      <c r="D78" s="171"/>
      <c r="E78" s="172"/>
      <c r="F78" s="164"/>
      <c r="G78" s="164"/>
      <c r="H78" s="208"/>
      <c r="I78" s="208"/>
      <c r="J78" s="164"/>
      <c r="K78" s="172"/>
      <c r="L78" s="208"/>
      <c r="M78" s="164"/>
      <c r="N78" s="177"/>
      <c r="O78" s="172"/>
      <c r="P78" s="208"/>
      <c r="Q78" s="177"/>
      <c r="R78" s="171"/>
      <c r="S78" s="164"/>
      <c r="T78" s="171"/>
      <c r="U78" s="208"/>
      <c r="V78" s="208"/>
      <c r="W78" s="172"/>
      <c r="X78" s="171"/>
      <c r="Y78" s="171"/>
      <c r="Z78" s="172"/>
      <c r="AA78" s="171"/>
      <c r="AB78" s="172"/>
      <c r="AC78" s="164"/>
      <c r="AD78" s="164"/>
      <c r="AE78" s="208"/>
      <c r="AF78" s="171"/>
      <c r="AG78" s="170"/>
      <c r="AH78" s="170"/>
      <c r="AI78" s="201">
        <f t="shared" si="1"/>
        <v>73121076</v>
      </c>
      <c r="AJ78" s="173"/>
    </row>
    <row r="79" spans="1:38">
      <c r="A79" s="162" t="s">
        <v>175</v>
      </c>
      <c r="B79" s="204"/>
      <c r="C79" s="172"/>
      <c r="D79" s="172"/>
      <c r="E79" s="172"/>
      <c r="F79" s="164">
        <v>4375878632</v>
      </c>
      <c r="G79" s="172">
        <v>4563768849</v>
      </c>
      <c r="H79" s="171"/>
      <c r="I79" s="208"/>
      <c r="J79" s="172"/>
      <c r="K79" s="164"/>
      <c r="L79" s="171"/>
      <c r="M79" s="164"/>
      <c r="N79" s="172"/>
      <c r="O79" s="172"/>
      <c r="P79" s="173"/>
      <c r="Q79" s="208"/>
      <c r="R79" s="171"/>
      <c r="S79" s="164"/>
      <c r="T79" s="164"/>
      <c r="U79" s="164">
        <v>3887260894</v>
      </c>
      <c r="V79" s="164"/>
      <c r="W79" s="175"/>
      <c r="X79" s="175"/>
      <c r="Y79" s="175"/>
      <c r="Z79" s="172"/>
      <c r="AA79" s="172">
        <v>2898412254</v>
      </c>
      <c r="AB79" s="172"/>
      <c r="AC79" s="164"/>
      <c r="AD79" s="172"/>
      <c r="AE79" s="171"/>
      <c r="AF79" s="171"/>
      <c r="AG79" s="172">
        <v>3215277627</v>
      </c>
      <c r="AH79" s="170"/>
      <c r="AI79" s="201">
        <f t="shared" si="1"/>
        <v>18940598256</v>
      </c>
      <c r="AJ79" s="173"/>
    </row>
    <row r="80" spans="1:38">
      <c r="A80" s="162" t="s">
        <v>176</v>
      </c>
      <c r="B80" s="204"/>
      <c r="C80" s="208"/>
      <c r="D80" s="164"/>
      <c r="E80" s="172"/>
      <c r="F80" s="164"/>
      <c r="G80" s="164"/>
      <c r="H80" s="208"/>
      <c r="I80" s="208"/>
      <c r="J80" s="172"/>
      <c r="K80" s="172"/>
      <c r="L80" s="208"/>
      <c r="M80" s="164"/>
      <c r="N80" s="164"/>
      <c r="O80" s="172"/>
      <c r="P80" s="208"/>
      <c r="Q80" s="164"/>
      <c r="R80" s="306"/>
      <c r="S80" s="164"/>
      <c r="T80" s="172"/>
      <c r="U80" s="171"/>
      <c r="V80" s="171"/>
      <c r="W80" s="164"/>
      <c r="X80" s="171"/>
      <c r="Y80" s="172"/>
      <c r="Z80" s="208"/>
      <c r="AA80" s="164">
        <v>2499389883</v>
      </c>
      <c r="AB80" s="172"/>
      <c r="AC80" s="164"/>
      <c r="AD80" s="164"/>
      <c r="AE80" s="208"/>
      <c r="AF80" s="171"/>
      <c r="AG80" s="164"/>
      <c r="AH80" s="164"/>
      <c r="AI80" s="201">
        <f t="shared" si="1"/>
        <v>2499389883</v>
      </c>
      <c r="AJ80" s="173"/>
    </row>
    <row r="81" spans="1:36">
      <c r="A81" s="162" t="s">
        <v>409</v>
      </c>
      <c r="B81" s="204"/>
      <c r="C81" s="171"/>
      <c r="D81" s="171"/>
      <c r="E81" s="172"/>
      <c r="F81" s="164"/>
      <c r="G81" s="164"/>
      <c r="H81" s="309"/>
      <c r="I81" s="208"/>
      <c r="J81" s="172"/>
      <c r="K81" s="172"/>
      <c r="L81" s="208"/>
      <c r="M81" s="164"/>
      <c r="N81" s="164"/>
      <c r="O81" s="172"/>
      <c r="P81" s="208"/>
      <c r="Q81" s="164"/>
      <c r="R81" s="306"/>
      <c r="S81" s="164"/>
      <c r="T81" s="172"/>
      <c r="U81" s="171"/>
      <c r="V81" s="171"/>
      <c r="W81" s="164"/>
      <c r="X81" s="171"/>
      <c r="Y81" s="171"/>
      <c r="Z81" s="171"/>
      <c r="AA81" s="171"/>
      <c r="AB81" s="172"/>
      <c r="AC81" s="164"/>
      <c r="AD81" s="164"/>
      <c r="AE81" s="309"/>
      <c r="AF81" s="171"/>
      <c r="AG81" s="164"/>
      <c r="AH81" s="164"/>
      <c r="AI81" s="201"/>
      <c r="AJ81" s="173"/>
    </row>
    <row r="82" spans="1:36">
      <c r="A82" s="162" t="s">
        <v>202</v>
      </c>
      <c r="B82" s="204"/>
      <c r="C82" s="164">
        <v>72089394</v>
      </c>
      <c r="D82" s="164"/>
      <c r="E82" s="172"/>
      <c r="F82" s="164"/>
      <c r="G82" s="164"/>
      <c r="H82" s="306"/>
      <c r="I82" s="208"/>
      <c r="J82" s="172"/>
      <c r="K82" s="172"/>
      <c r="L82" s="208"/>
      <c r="M82" s="164"/>
      <c r="N82" s="164"/>
      <c r="O82" s="172"/>
      <c r="P82" s="208"/>
      <c r="Q82" s="164"/>
      <c r="R82" s="306"/>
      <c r="S82" s="164"/>
      <c r="T82" s="172"/>
      <c r="U82" s="171"/>
      <c r="V82" s="164"/>
      <c r="W82" s="164"/>
      <c r="X82" s="171"/>
      <c r="Y82" s="172"/>
      <c r="Z82" s="164"/>
      <c r="AA82" s="164"/>
      <c r="AB82" s="172"/>
      <c r="AC82" s="164"/>
      <c r="AD82" s="164"/>
      <c r="AE82" s="306"/>
      <c r="AF82" s="171"/>
      <c r="AG82" s="164"/>
      <c r="AH82" s="164"/>
      <c r="AI82" s="201">
        <f t="shared" si="1"/>
        <v>72089394</v>
      </c>
      <c r="AJ82" s="173"/>
    </row>
    <row r="83" spans="1:36">
      <c r="A83" s="211" t="s">
        <v>41</v>
      </c>
      <c r="B83" s="212"/>
      <c r="C83" s="213">
        <f t="shared" ref="C83:AI83" si="2">SUM(C59:C82)</f>
        <v>20235162451</v>
      </c>
      <c r="D83" s="213">
        <f t="shared" si="2"/>
        <v>0</v>
      </c>
      <c r="E83" s="213">
        <f t="shared" si="2"/>
        <v>3687212643</v>
      </c>
      <c r="F83" s="213">
        <f t="shared" si="2"/>
        <v>11136989658</v>
      </c>
      <c r="G83" s="213">
        <f t="shared" si="2"/>
        <v>4563768849</v>
      </c>
      <c r="H83" s="213">
        <f t="shared" si="2"/>
        <v>0</v>
      </c>
      <c r="I83" s="213">
        <f t="shared" si="2"/>
        <v>0</v>
      </c>
      <c r="J83" s="213">
        <f t="shared" si="2"/>
        <v>0</v>
      </c>
      <c r="K83" s="213">
        <f t="shared" si="2"/>
        <v>0</v>
      </c>
      <c r="L83" s="213">
        <f t="shared" si="2"/>
        <v>14543487299</v>
      </c>
      <c r="M83" s="213">
        <f t="shared" si="2"/>
        <v>3687212643</v>
      </c>
      <c r="N83" s="213">
        <f>SUM(N59:N82)</f>
        <v>1707503587</v>
      </c>
      <c r="O83" s="213">
        <f t="shared" si="2"/>
        <v>0</v>
      </c>
      <c r="P83" s="213">
        <f t="shared" si="2"/>
        <v>0</v>
      </c>
      <c r="Q83" s="213">
        <f t="shared" si="2"/>
        <v>5227347903</v>
      </c>
      <c r="R83" s="213">
        <f t="shared" si="2"/>
        <v>1240795442</v>
      </c>
      <c r="S83" s="213">
        <f t="shared" si="2"/>
        <v>0</v>
      </c>
      <c r="T83" s="213">
        <f>SUM(T59:T82)</f>
        <v>9245330206</v>
      </c>
      <c r="U83" s="213">
        <f t="shared" si="2"/>
        <v>7576073063</v>
      </c>
      <c r="V83" s="213">
        <f t="shared" si="2"/>
        <v>0</v>
      </c>
      <c r="W83" s="213">
        <f t="shared" si="2"/>
        <v>0</v>
      </c>
      <c r="X83" s="213">
        <f t="shared" si="2"/>
        <v>1774901485</v>
      </c>
      <c r="Y83" s="213">
        <f t="shared" si="2"/>
        <v>0</v>
      </c>
      <c r="Z83" s="213">
        <f t="shared" si="2"/>
        <v>0</v>
      </c>
      <c r="AA83" s="213">
        <f t="shared" si="2"/>
        <v>11867206284</v>
      </c>
      <c r="AB83" s="213">
        <f t="shared" si="2"/>
        <v>0</v>
      </c>
      <c r="AC83" s="213">
        <f t="shared" si="2"/>
        <v>0</v>
      </c>
      <c r="AD83" s="213">
        <f t="shared" si="2"/>
        <v>0</v>
      </c>
      <c r="AE83" s="213">
        <f t="shared" si="2"/>
        <v>348418540</v>
      </c>
      <c r="AF83" s="213">
        <f t="shared" si="2"/>
        <v>5553880229</v>
      </c>
      <c r="AG83" s="213">
        <f t="shared" si="2"/>
        <v>3447563845</v>
      </c>
      <c r="AH83" s="213">
        <f t="shared" si="2"/>
        <v>0</v>
      </c>
      <c r="AI83" s="213">
        <f t="shared" si="2"/>
        <v>71399638043</v>
      </c>
      <c r="AJ83" s="154"/>
    </row>
    <row r="84" spans="1:36">
      <c r="A84" s="393" t="s">
        <v>42</v>
      </c>
      <c r="B84" s="394"/>
      <c r="C84" s="215">
        <f t="shared" ref="C84:AG84" si="3">C56+C83</f>
        <v>20478173853</v>
      </c>
      <c r="D84" s="215">
        <f t="shared" si="3"/>
        <v>118496080</v>
      </c>
      <c r="E84" s="216">
        <f t="shared" si="3"/>
        <v>3815152503</v>
      </c>
      <c r="F84" s="216">
        <f t="shared" si="3"/>
        <v>11862418274</v>
      </c>
      <c r="G84" s="216">
        <f t="shared" si="3"/>
        <v>5304470444</v>
      </c>
      <c r="H84" s="216">
        <f t="shared" si="3"/>
        <v>0</v>
      </c>
      <c r="I84" s="216">
        <f t="shared" si="3"/>
        <v>0</v>
      </c>
      <c r="J84" s="215">
        <f t="shared" si="3"/>
        <v>615371618</v>
      </c>
      <c r="K84" s="215">
        <f t="shared" si="3"/>
        <v>0</v>
      </c>
      <c r="L84" s="216">
        <f t="shared" si="3"/>
        <v>14673413699</v>
      </c>
      <c r="M84" s="216">
        <f t="shared" si="3"/>
        <v>3687212643</v>
      </c>
      <c r="N84" s="216">
        <f t="shared" si="3"/>
        <v>1843129456</v>
      </c>
      <c r="O84" s="216">
        <f t="shared" si="3"/>
        <v>0</v>
      </c>
      <c r="P84" s="216">
        <f t="shared" si="3"/>
        <v>0</v>
      </c>
      <c r="Q84" s="216">
        <f t="shared" si="3"/>
        <v>5617599897</v>
      </c>
      <c r="R84" s="216">
        <f t="shared" si="3"/>
        <v>1257348103</v>
      </c>
      <c r="S84" s="216">
        <f t="shared" si="3"/>
        <v>0</v>
      </c>
      <c r="T84" s="216">
        <f t="shared" si="3"/>
        <v>9336232051</v>
      </c>
      <c r="U84" s="216">
        <f t="shared" si="3"/>
        <v>7749517679</v>
      </c>
      <c r="V84" s="216">
        <f t="shared" si="3"/>
        <v>0</v>
      </c>
      <c r="W84" s="216">
        <f t="shared" si="3"/>
        <v>0</v>
      </c>
      <c r="X84" s="216">
        <f t="shared" si="3"/>
        <v>20260772976</v>
      </c>
      <c r="Y84" s="216">
        <f t="shared" si="3"/>
        <v>0</v>
      </c>
      <c r="Z84" s="216">
        <f t="shared" si="3"/>
        <v>381721769</v>
      </c>
      <c r="AA84" s="216">
        <f t="shared" si="3"/>
        <v>12025963670</v>
      </c>
      <c r="AB84" s="216">
        <f t="shared" si="3"/>
        <v>660803637</v>
      </c>
      <c r="AC84" s="216">
        <f t="shared" si="3"/>
        <v>0</v>
      </c>
      <c r="AD84" s="216">
        <f t="shared" si="3"/>
        <v>0</v>
      </c>
      <c r="AE84" s="216">
        <f t="shared" si="3"/>
        <v>418331323</v>
      </c>
      <c r="AF84" s="216">
        <f t="shared" si="3"/>
        <v>8553880229</v>
      </c>
      <c r="AG84" s="216">
        <f t="shared" si="3"/>
        <v>3957582036</v>
      </c>
      <c r="AH84" s="216"/>
      <c r="AI84" s="216">
        <f>SUM(C84:AG84)</f>
        <v>132617591940</v>
      </c>
    </row>
    <row r="86" spans="1:36">
      <c r="A86" s="150" t="s">
        <v>50</v>
      </c>
      <c r="C86" s="248">
        <v>33272923060</v>
      </c>
      <c r="D86" s="292"/>
      <c r="E86" s="248"/>
      <c r="F86" s="248">
        <v>23229641276</v>
      </c>
      <c r="G86" s="248"/>
      <c r="H86" s="248"/>
      <c r="I86" s="248">
        <v>16391884159</v>
      </c>
      <c r="J86" s="248">
        <v>21691289779</v>
      </c>
      <c r="K86" s="292"/>
      <c r="L86" s="248">
        <v>26896802680</v>
      </c>
      <c r="M86" s="248">
        <v>15934849065</v>
      </c>
      <c r="N86" s="248"/>
      <c r="O86" s="248"/>
      <c r="P86" s="248"/>
      <c r="Q86" s="248">
        <v>22094664186</v>
      </c>
      <c r="R86" s="248"/>
      <c r="S86" s="248"/>
      <c r="T86" s="248"/>
      <c r="U86" s="248">
        <v>14886885257</v>
      </c>
      <c r="V86" s="248"/>
      <c r="W86" s="248"/>
      <c r="X86" s="248">
        <v>17422641668</v>
      </c>
      <c r="Y86" s="248"/>
      <c r="Z86" s="248"/>
      <c r="AA86" s="248"/>
      <c r="AB86" s="293"/>
      <c r="AC86" s="248"/>
      <c r="AD86" s="248"/>
      <c r="AE86" s="248"/>
      <c r="AF86" s="248">
        <v>25875733257</v>
      </c>
      <c r="AG86" s="248">
        <v>26155264138</v>
      </c>
      <c r="AH86" s="248"/>
      <c r="AI86" s="228"/>
      <c r="AJ86" s="228"/>
    </row>
    <row r="87" spans="1:36">
      <c r="A87" s="150" t="s">
        <v>139</v>
      </c>
      <c r="C87" s="294">
        <f>C86-C84</f>
        <v>12794749207</v>
      </c>
      <c r="D87" s="295"/>
      <c r="E87" s="296"/>
      <c r="F87" s="248"/>
      <c r="G87" s="296"/>
      <c r="H87" s="248"/>
      <c r="I87" s="296"/>
      <c r="J87" s="248">
        <f>J86-J84</f>
        <v>21075918161</v>
      </c>
      <c r="K87" s="297"/>
      <c r="L87" s="296">
        <f>L86-L84</f>
        <v>12223388981</v>
      </c>
      <c r="M87" s="293">
        <f>M86-M84</f>
        <v>12247636422</v>
      </c>
      <c r="N87" s="293"/>
      <c r="O87" s="293"/>
      <c r="P87" s="293"/>
      <c r="Q87" s="293"/>
      <c r="R87" s="293"/>
      <c r="S87" s="293"/>
      <c r="T87" s="293"/>
      <c r="U87" s="293"/>
      <c r="V87" s="293"/>
      <c r="W87" s="296"/>
      <c r="X87" s="248">
        <f>X86-X84</f>
        <v>-2838131308</v>
      </c>
      <c r="Y87" s="296"/>
      <c r="Z87" s="248"/>
      <c r="AA87" s="248"/>
      <c r="AB87" s="293"/>
      <c r="AC87" s="296"/>
      <c r="AD87" s="296"/>
      <c r="AE87" s="296"/>
      <c r="AF87" s="296">
        <f>AF86-AF84</f>
        <v>17321853028</v>
      </c>
      <c r="AG87" s="296">
        <f>AG86-AG84</f>
        <v>22197682102</v>
      </c>
      <c r="AH87" s="296"/>
      <c r="AI87" s="296"/>
      <c r="AJ87" s="228"/>
    </row>
    <row r="88" spans="1:36">
      <c r="A88" s="150" t="s">
        <v>181</v>
      </c>
      <c r="C88" s="248">
        <v>2652000000</v>
      </c>
      <c r="D88" s="295"/>
      <c r="E88" s="248"/>
      <c r="F88" s="248"/>
      <c r="G88" s="248"/>
      <c r="H88" s="248"/>
      <c r="I88" s="248"/>
      <c r="J88" s="248">
        <v>2000000000</v>
      </c>
      <c r="K88" s="297"/>
      <c r="L88" s="248"/>
      <c r="M88" s="248"/>
      <c r="N88" s="248"/>
      <c r="O88" s="293"/>
      <c r="P88" s="248"/>
      <c r="Q88" s="248"/>
      <c r="R88" s="296"/>
      <c r="S88" s="248"/>
      <c r="T88" s="248"/>
      <c r="U88" s="248"/>
      <c r="V88" s="248"/>
      <c r="W88" s="248"/>
      <c r="X88" s="248"/>
      <c r="Y88" s="293"/>
      <c r="Z88" s="248"/>
      <c r="AA88" s="248"/>
      <c r="AB88" s="248"/>
      <c r="AC88" s="248"/>
      <c r="AD88" s="293"/>
      <c r="AE88" s="248"/>
      <c r="AF88" s="248"/>
      <c r="AG88" s="248"/>
      <c r="AH88" s="248"/>
      <c r="AI88" s="296"/>
      <c r="AJ88" s="228"/>
    </row>
    <row r="89" spans="1:36">
      <c r="A89" s="150" t="s">
        <v>654</v>
      </c>
      <c r="C89" s="248">
        <f>C87+C88</f>
        <v>15446749207</v>
      </c>
      <c r="D89" s="295"/>
      <c r="E89" s="248"/>
      <c r="F89" s="248"/>
      <c r="G89" s="248"/>
      <c r="H89" s="248"/>
      <c r="I89" s="248"/>
      <c r="J89" s="292">
        <f>J87+J88</f>
        <v>23075918161</v>
      </c>
      <c r="K89" s="292"/>
      <c r="L89" s="248"/>
      <c r="M89" s="248"/>
      <c r="N89" s="248"/>
      <c r="O89" s="248"/>
      <c r="P89" s="248"/>
      <c r="Q89" s="248"/>
      <c r="R89" s="248"/>
      <c r="S89" s="248"/>
      <c r="T89" s="248"/>
      <c r="U89" s="248"/>
      <c r="V89" s="248"/>
      <c r="W89" s="248"/>
      <c r="X89" s="248"/>
      <c r="Y89" s="293"/>
      <c r="Z89" s="296"/>
      <c r="AA89" s="296"/>
      <c r="AB89" s="248"/>
      <c r="AC89" s="248"/>
      <c r="AD89" s="296"/>
      <c r="AE89" s="296"/>
      <c r="AF89" s="296"/>
      <c r="AG89" s="296"/>
      <c r="AH89" s="296"/>
      <c r="AI89" s="296"/>
      <c r="AJ89" s="228"/>
    </row>
    <row r="90" spans="1:36">
      <c r="A90" s="150" t="s">
        <v>407</v>
      </c>
      <c r="C90" s="297"/>
      <c r="D90" s="297"/>
      <c r="E90" s="248"/>
      <c r="F90" s="248"/>
      <c r="G90" s="228"/>
      <c r="H90" s="293"/>
      <c r="I90" s="248"/>
      <c r="J90" s="292"/>
      <c r="K90" s="297"/>
      <c r="L90" s="248"/>
      <c r="M90" s="248"/>
      <c r="N90" s="248"/>
      <c r="O90" s="296"/>
      <c r="P90" s="248"/>
      <c r="Q90" s="296"/>
      <c r="R90" s="293"/>
      <c r="S90" s="296"/>
      <c r="T90" s="296"/>
      <c r="U90" s="248"/>
      <c r="V90" s="248"/>
      <c r="W90" s="293"/>
      <c r="X90" s="248"/>
      <c r="Y90" s="296"/>
      <c r="Z90" s="296"/>
      <c r="AA90" s="296"/>
      <c r="AB90" s="248"/>
      <c r="AC90" s="228"/>
      <c r="AD90" s="228"/>
      <c r="AE90" s="228"/>
      <c r="AF90" s="228"/>
      <c r="AG90" s="248"/>
      <c r="AH90" s="248"/>
      <c r="AI90" s="228"/>
      <c r="AJ90" s="296"/>
    </row>
    <row r="91" spans="1:36">
      <c r="C91" s="193"/>
      <c r="F91" s="154"/>
      <c r="I91" s="219"/>
      <c r="K91" s="218"/>
      <c r="L91" s="154"/>
      <c r="R91" s="217"/>
      <c r="S91" s="219"/>
      <c r="V91" s="154"/>
      <c r="W91" s="219"/>
      <c r="X91" s="219"/>
      <c r="AD91" s="398" t="s">
        <v>686</v>
      </c>
      <c r="AE91" s="398"/>
      <c r="AF91" s="398"/>
    </row>
    <row r="92" spans="1:36">
      <c r="D92" s="182" t="s">
        <v>102</v>
      </c>
      <c r="L92" s="154"/>
      <c r="Y92" s="154"/>
      <c r="AD92" s="284" t="s">
        <v>443</v>
      </c>
      <c r="AE92" s="285" t="s">
        <v>444</v>
      </c>
      <c r="AF92" s="284" t="s">
        <v>445</v>
      </c>
      <c r="AG92" s="283"/>
      <c r="AH92" s="222"/>
      <c r="AI92" s="169"/>
      <c r="AJ92" s="176"/>
    </row>
    <row r="93" spans="1:36">
      <c r="C93" s="150"/>
      <c r="D93" s="150"/>
      <c r="F93" s="395" t="s">
        <v>481</v>
      </c>
      <c r="G93" s="395"/>
      <c r="H93" s="395" t="s">
        <v>481</v>
      </c>
      <c r="I93" s="395"/>
      <c r="J93" s="395" t="s">
        <v>481</v>
      </c>
      <c r="K93" s="395"/>
      <c r="L93" s="395" t="s">
        <v>481</v>
      </c>
      <c r="M93" s="395"/>
      <c r="P93" s="298" t="s">
        <v>430</v>
      </c>
      <c r="Q93" s="298"/>
      <c r="R93" s="395" t="s">
        <v>481</v>
      </c>
      <c r="S93" s="395"/>
      <c r="T93" s="395"/>
      <c r="AD93" s="169" t="s">
        <v>463</v>
      </c>
      <c r="AE93" s="176" t="s">
        <v>687</v>
      </c>
      <c r="AF93" s="176">
        <v>1990000</v>
      </c>
      <c r="AG93" s="222"/>
      <c r="AH93" s="222"/>
      <c r="AI93" s="169"/>
      <c r="AJ93" s="176"/>
    </row>
    <row r="94" spans="1:36">
      <c r="F94" s="395" t="s">
        <v>482</v>
      </c>
      <c r="G94" s="395"/>
      <c r="H94" s="395" t="s">
        <v>504</v>
      </c>
      <c r="I94" s="395"/>
      <c r="J94" s="395" t="s">
        <v>508</v>
      </c>
      <c r="K94" s="395"/>
      <c r="L94" s="395" t="s">
        <v>546</v>
      </c>
      <c r="M94" s="395"/>
      <c r="O94" s="150" t="s">
        <v>375</v>
      </c>
      <c r="P94" s="299">
        <v>44635</v>
      </c>
      <c r="Q94" s="299"/>
      <c r="R94" s="402" t="s">
        <v>684</v>
      </c>
      <c r="S94" s="402"/>
      <c r="T94" s="402"/>
      <c r="U94" s="185"/>
      <c r="AA94" s="150" t="s">
        <v>111</v>
      </c>
      <c r="AC94" s="150" t="s">
        <v>108</v>
      </c>
      <c r="AD94" s="162" t="s">
        <v>688</v>
      </c>
      <c r="AE94" s="313" t="s">
        <v>689</v>
      </c>
      <c r="AF94" s="314">
        <v>975000</v>
      </c>
      <c r="AG94" s="222"/>
      <c r="AH94" s="222"/>
      <c r="AI94" s="169"/>
      <c r="AJ94" s="176"/>
    </row>
    <row r="95" spans="1:36">
      <c r="C95" s="150"/>
      <c r="D95" s="150"/>
      <c r="F95" s="169"/>
      <c r="G95" s="176"/>
      <c r="H95" s="154"/>
      <c r="J95" s="169"/>
      <c r="K95" s="176"/>
      <c r="L95" s="169"/>
      <c r="M95" s="176"/>
      <c r="N95" s="247"/>
      <c r="O95" s="247"/>
      <c r="P95" s="250"/>
      <c r="Q95" s="250"/>
      <c r="R95" s="250" t="s">
        <v>230</v>
      </c>
      <c r="S95" s="250" t="s">
        <v>445</v>
      </c>
      <c r="T95" s="250" t="s">
        <v>233</v>
      </c>
      <c r="U95" s="247"/>
      <c r="V95" s="247"/>
      <c r="W95" s="226"/>
      <c r="X95" s="176"/>
      <c r="Y95" s="248"/>
      <c r="Z95" s="154"/>
      <c r="AD95" s="169" t="s">
        <v>560</v>
      </c>
      <c r="AE95" s="176" t="s">
        <v>690</v>
      </c>
      <c r="AF95" s="176">
        <v>500000</v>
      </c>
      <c r="AI95" s="169"/>
      <c r="AJ95" s="176"/>
    </row>
    <row r="96" spans="1:36">
      <c r="C96" s="150"/>
      <c r="D96" s="150"/>
      <c r="F96" s="169"/>
      <c r="G96" s="176"/>
      <c r="H96" s="154"/>
      <c r="I96" s="154"/>
      <c r="J96" s="169"/>
      <c r="K96" s="176"/>
      <c r="L96" s="169"/>
      <c r="M96" s="176"/>
      <c r="O96" s="228"/>
      <c r="P96" s="336"/>
      <c r="Q96" s="336"/>
      <c r="R96" s="331" t="s">
        <v>620</v>
      </c>
      <c r="S96" s="331">
        <v>1184925</v>
      </c>
      <c r="T96" s="330" t="s">
        <v>680</v>
      </c>
      <c r="U96" s="228"/>
      <c r="V96" s="229"/>
      <c r="W96" s="169"/>
      <c r="X96" s="176"/>
      <c r="Y96" s="154"/>
      <c r="Z96" s="154"/>
      <c r="AD96" s="169" t="s">
        <v>594</v>
      </c>
      <c r="AE96" s="176" t="s">
        <v>691</v>
      </c>
      <c r="AF96" s="176">
        <v>2430000</v>
      </c>
      <c r="AI96" s="169"/>
      <c r="AJ96" s="176"/>
    </row>
    <row r="97" spans="3:42">
      <c r="C97" s="150"/>
      <c r="D97" s="150"/>
      <c r="F97" s="169"/>
      <c r="G97" s="176"/>
      <c r="H97" s="154"/>
      <c r="I97" s="154"/>
      <c r="J97" s="169"/>
      <c r="K97" s="176"/>
      <c r="L97" s="169"/>
      <c r="M97" s="176"/>
      <c r="O97" s="228"/>
      <c r="P97" s="336"/>
      <c r="Q97" s="336"/>
      <c r="R97" s="331" t="s">
        <v>620</v>
      </c>
      <c r="S97" s="331">
        <v>2673000</v>
      </c>
      <c r="T97" s="330" t="s">
        <v>681</v>
      </c>
      <c r="U97" s="228"/>
      <c r="V97" s="229"/>
      <c r="W97" s="169"/>
      <c r="X97" s="176"/>
      <c r="Y97" s="154"/>
      <c r="Z97" s="154"/>
      <c r="AD97" s="169" t="s">
        <v>466</v>
      </c>
      <c r="AE97" s="176" t="s">
        <v>692</v>
      </c>
      <c r="AF97" s="176">
        <v>381004</v>
      </c>
      <c r="AI97" s="169"/>
      <c r="AJ97" s="176"/>
    </row>
    <row r="98" spans="3:42">
      <c r="C98" s="150"/>
      <c r="D98" s="150"/>
      <c r="F98" s="169"/>
      <c r="G98" s="176"/>
      <c r="H98" s="154"/>
      <c r="I98" s="154"/>
      <c r="J98" s="169"/>
      <c r="K98" s="176"/>
      <c r="L98" s="169"/>
      <c r="M98" s="176"/>
      <c r="O98" s="228"/>
      <c r="P98" s="336"/>
      <c r="Q98" s="336"/>
      <c r="R98" s="331" t="s">
        <v>682</v>
      </c>
      <c r="S98" s="331">
        <v>436000</v>
      </c>
      <c r="T98" s="330" t="s">
        <v>683</v>
      </c>
      <c r="U98" s="228"/>
      <c r="V98" s="229"/>
      <c r="W98" s="169"/>
      <c r="X98" s="272"/>
      <c r="Y98" s="154"/>
      <c r="Z98" s="154"/>
      <c r="AC98" s="150" t="s">
        <v>111</v>
      </c>
      <c r="AD98" s="169" t="s">
        <v>468</v>
      </c>
      <c r="AE98" s="176" t="s">
        <v>691</v>
      </c>
      <c r="AF98" s="176">
        <v>870000</v>
      </c>
      <c r="AI98" s="169"/>
      <c r="AJ98" s="176"/>
    </row>
    <row r="99" spans="3:42">
      <c r="C99" s="150"/>
      <c r="D99" s="150"/>
      <c r="F99" s="169"/>
      <c r="G99" s="176"/>
      <c r="I99" s="154"/>
      <c r="J99" s="169"/>
      <c r="K99" s="176"/>
      <c r="L99" s="169"/>
      <c r="M99" s="176"/>
      <c r="N99" s="247"/>
      <c r="O99" s="247"/>
      <c r="P99" s="250"/>
      <c r="Q99" s="250"/>
      <c r="R99" s="331"/>
      <c r="S99" s="331"/>
      <c r="T99" s="331"/>
      <c r="U99" s="247"/>
      <c r="V99" s="247"/>
      <c r="W99" s="226"/>
      <c r="X99" s="169"/>
      <c r="Y99" s="248"/>
      <c r="Z99" s="248"/>
      <c r="AD99" s="169" t="s">
        <v>474</v>
      </c>
      <c r="AE99" s="176" t="s">
        <v>690</v>
      </c>
      <c r="AF99" s="176">
        <v>500000</v>
      </c>
      <c r="AI99" s="169"/>
      <c r="AJ99" s="176"/>
      <c r="AM99" s="150" t="s">
        <v>111</v>
      </c>
    </row>
    <row r="100" spans="3:42">
      <c r="D100" s="193"/>
      <c r="E100" s="154"/>
      <c r="G100" s="154"/>
      <c r="H100" s="154"/>
      <c r="I100" s="154"/>
      <c r="J100" s="193"/>
      <c r="K100" s="193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W100" s="248"/>
      <c r="X100" s="248"/>
      <c r="Y100" s="248"/>
      <c r="Z100" s="248"/>
      <c r="AA100" s="154"/>
      <c r="AC100" s="150" t="s">
        <v>108</v>
      </c>
      <c r="AD100" s="169"/>
      <c r="AE100" s="176"/>
      <c r="AF100" s="169"/>
      <c r="AJ100" s="154"/>
    </row>
    <row r="101" spans="3:42">
      <c r="D101" s="193"/>
      <c r="E101" s="154"/>
      <c r="G101" s="154"/>
      <c r="H101" s="154">
        <v>158340504</v>
      </c>
      <c r="I101" s="154">
        <v>220319460</v>
      </c>
      <c r="J101" s="193">
        <v>13075500</v>
      </c>
      <c r="K101" s="193">
        <v>3539018910</v>
      </c>
      <c r="L101" s="193"/>
      <c r="M101" s="193"/>
      <c r="N101" s="154"/>
      <c r="O101" s="154"/>
      <c r="P101" s="154"/>
      <c r="Q101" s="154"/>
      <c r="R101" s="154"/>
      <c r="S101" s="154"/>
      <c r="T101" s="154"/>
      <c r="U101" s="154"/>
      <c r="W101" s="154"/>
      <c r="X101" s="154"/>
      <c r="Y101" s="154"/>
      <c r="Z101" s="154"/>
      <c r="AA101" s="154"/>
      <c r="AD101" s="192" t="s">
        <v>241</v>
      </c>
      <c r="AE101" s="227"/>
      <c r="AF101" s="272">
        <f>SUM(AF93:AF100)</f>
        <v>7646004</v>
      </c>
      <c r="AJ101" s="154"/>
      <c r="AL101" s="150" t="s">
        <v>112</v>
      </c>
    </row>
    <row r="102" spans="3:42">
      <c r="D102" s="193"/>
      <c r="E102" s="154"/>
      <c r="H102" s="154" t="e">
        <f ca="1">[3]!terbilang(H101)</f>
        <v>#NAME?</v>
      </c>
      <c r="I102" s="154" t="e">
        <f ca="1">[3]!terbilang(I101)</f>
        <v>#NAME?</v>
      </c>
      <c r="J102" s="154" t="str">
        <f>[4]!TERBILANG(J101)</f>
        <v xml:space="preserve">Tigabelas Juta Tujuhpuluh Lima Ribu Limaratus  </v>
      </c>
      <c r="K102" s="154" t="e">
        <f ca="1">[3]!terbilang(K101)</f>
        <v>#NAME?</v>
      </c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W102" s="248"/>
      <c r="X102" s="248"/>
      <c r="Y102" s="248"/>
      <c r="Z102" s="248"/>
      <c r="AA102" s="154"/>
      <c r="AG102" s="154">
        <v>68926337</v>
      </c>
      <c r="AH102" s="154">
        <v>168013836</v>
      </c>
      <c r="AI102" s="154">
        <v>88797176</v>
      </c>
      <c r="AJ102" s="154">
        <v>287208700</v>
      </c>
      <c r="AP102" s="150" t="s">
        <v>108</v>
      </c>
    </row>
    <row r="103" spans="3:42">
      <c r="D103" s="193"/>
      <c r="E103" s="154"/>
      <c r="H103" s="154">
        <v>4585722587</v>
      </c>
      <c r="I103" s="154">
        <v>4863360703</v>
      </c>
      <c r="J103" s="182">
        <v>1775474953</v>
      </c>
      <c r="K103" s="193"/>
      <c r="L103" s="193"/>
      <c r="M103" s="193"/>
      <c r="N103" s="154"/>
      <c r="O103" s="154"/>
      <c r="P103" s="154"/>
      <c r="Q103" s="154"/>
      <c r="R103" s="154"/>
      <c r="S103" s="154"/>
      <c r="T103" s="154"/>
      <c r="U103" s="154"/>
      <c r="W103" s="154"/>
      <c r="X103" s="154"/>
      <c r="Y103" s="154"/>
      <c r="Z103" s="154"/>
      <c r="AA103" s="154"/>
      <c r="AD103" s="150" t="s">
        <v>415</v>
      </c>
      <c r="AF103" s="154">
        <v>1000000000</v>
      </c>
      <c r="AG103" s="154" t="str">
        <f>[4]!TERBILANG(AG102)</f>
        <v xml:space="preserve">Enampuluh Delapan Juta Sembilanratus Duapuluh Enam Ribu Tigaratus Tigapuluh Tujuh </v>
      </c>
      <c r="AH103" s="154" t="e">
        <f ca="1">[3]!terbilang(AH102)</f>
        <v>#NAME?</v>
      </c>
      <c r="AI103" s="154" t="e">
        <f ca="1">[3]!terbilang(AI102)</f>
        <v>#NAME?</v>
      </c>
      <c r="AJ103" s="154" t="e">
        <f ca="1">[3]!terbilang(AJ102)</f>
        <v>#NAME?</v>
      </c>
    </row>
    <row r="104" spans="3:42">
      <c r="C104" s="150"/>
      <c r="D104" s="154" t="s">
        <v>111</v>
      </c>
      <c r="E104" s="154"/>
      <c r="H104" s="154" t="e">
        <f ca="1">[3]!terbilang(H103)</f>
        <v>#NAME?</v>
      </c>
      <c r="I104" s="154" t="e">
        <f ca="1">[3]!terbilang(I103)</f>
        <v>#NAME?</v>
      </c>
      <c r="J104" s="154" t="e">
        <f ca="1">[3]!terbilang(J103)</f>
        <v>#NAME?</v>
      </c>
      <c r="K104" s="154" t="e">
        <f ca="1">[3]!terbilang(K103)</f>
        <v>#NAME?</v>
      </c>
      <c r="L104" s="154" t="e">
        <f ca="1">[3]!terbilang(L103)</f>
        <v>#NAME?</v>
      </c>
      <c r="M104" s="154"/>
      <c r="N104" s="154"/>
      <c r="O104" s="154"/>
      <c r="P104" s="154"/>
      <c r="Q104" s="154"/>
      <c r="R104" s="154"/>
      <c r="S104" s="154"/>
      <c r="T104" s="154"/>
      <c r="U104" s="154"/>
      <c r="W104" s="248"/>
      <c r="X104" s="154"/>
      <c r="Y104" s="154"/>
      <c r="Z104" s="154"/>
      <c r="AA104" s="154"/>
      <c r="AE104" s="154">
        <v>160312320</v>
      </c>
      <c r="AF104" s="154" t="e">
        <f ca="1">[3]!terbilang(AF103)</f>
        <v>#NAME?</v>
      </c>
      <c r="AG104" s="154"/>
      <c r="AH104" s="154"/>
      <c r="AI104" s="154"/>
      <c r="AJ104" s="154"/>
    </row>
    <row r="105" spans="3:42">
      <c r="C105" s="150"/>
      <c r="D105" s="154"/>
      <c r="E105" s="154"/>
      <c r="G105" s="154"/>
      <c r="H105" s="154"/>
      <c r="I105" s="154"/>
      <c r="J105" s="193"/>
      <c r="K105" s="193"/>
      <c r="L105" s="193"/>
      <c r="M105" s="193"/>
      <c r="N105" s="193"/>
      <c r="O105" s="193"/>
      <c r="P105" s="193"/>
      <c r="Q105" s="154"/>
      <c r="R105" s="154"/>
      <c r="S105" s="154"/>
      <c r="T105" s="154"/>
      <c r="U105" s="154"/>
      <c r="W105" s="154"/>
      <c r="X105" s="154"/>
      <c r="Y105" s="154"/>
      <c r="Z105" s="154"/>
      <c r="AA105" s="154"/>
      <c r="AE105" s="154" t="e">
        <f ca="1">[3]!terbilang(AE104)</f>
        <v>#NAME?</v>
      </c>
      <c r="AF105" s="154"/>
      <c r="AG105" s="154"/>
      <c r="AH105" s="154"/>
      <c r="AI105" s="154"/>
      <c r="AJ105" s="154" t="s">
        <v>111</v>
      </c>
    </row>
    <row r="106" spans="3:42">
      <c r="C106" s="150"/>
      <c r="D106" s="154"/>
      <c r="E106" s="154"/>
      <c r="G106" s="154"/>
      <c r="H106" s="154"/>
      <c r="I106" s="154"/>
      <c r="J106" s="193"/>
      <c r="K106" s="193"/>
      <c r="L106" s="193"/>
      <c r="M106" s="193"/>
      <c r="N106" s="193"/>
      <c r="O106" s="193"/>
      <c r="P106" s="193"/>
      <c r="Q106" s="154"/>
      <c r="R106" s="154"/>
      <c r="S106" s="154"/>
      <c r="T106" s="154"/>
      <c r="U106" s="154"/>
      <c r="W106" s="154"/>
      <c r="X106" s="154"/>
      <c r="Y106" s="154"/>
      <c r="Z106" s="154"/>
      <c r="AA106" s="154"/>
      <c r="AE106" s="154"/>
      <c r="AF106" s="154"/>
      <c r="AG106" s="154"/>
      <c r="AH106" s="154"/>
      <c r="AI106" s="154"/>
      <c r="AJ106" s="154"/>
    </row>
    <row r="107" spans="3:42">
      <c r="C107" s="150"/>
      <c r="D107" s="154"/>
      <c r="E107" s="154"/>
      <c r="G107" s="154"/>
      <c r="H107" s="154"/>
      <c r="I107" s="154"/>
      <c r="J107" s="193"/>
      <c r="K107" s="193"/>
      <c r="L107" s="193"/>
      <c r="M107" s="193"/>
      <c r="N107" s="193"/>
      <c r="O107" s="193"/>
      <c r="P107" s="193"/>
      <c r="Q107" s="154"/>
      <c r="R107" s="154"/>
      <c r="S107" s="154"/>
      <c r="T107" s="154"/>
      <c r="U107" s="154"/>
      <c r="W107" s="154"/>
      <c r="X107" s="154"/>
      <c r="Y107" s="154"/>
      <c r="Z107" s="154"/>
      <c r="AA107" s="154"/>
      <c r="AE107" s="154"/>
      <c r="AF107" s="154"/>
      <c r="AG107" s="154"/>
      <c r="AH107" s="154"/>
      <c r="AI107" s="154"/>
      <c r="AJ107" s="154"/>
    </row>
    <row r="108" spans="3:42">
      <c r="C108" s="150"/>
      <c r="D108" s="154"/>
      <c r="E108" s="154" t="s">
        <v>111</v>
      </c>
      <c r="G108" s="154"/>
      <c r="H108" s="154"/>
      <c r="I108" s="154" t="s">
        <v>111</v>
      </c>
      <c r="J108" s="193">
        <v>3644000</v>
      </c>
      <c r="K108" s="193"/>
      <c r="L108" s="193"/>
      <c r="M108" s="193"/>
      <c r="N108" s="193"/>
      <c r="O108" s="193"/>
      <c r="P108" s="193"/>
      <c r="Q108" s="154"/>
      <c r="R108" s="154"/>
      <c r="S108" s="154"/>
      <c r="T108" s="154"/>
      <c r="U108" s="154"/>
      <c r="W108" s="154"/>
      <c r="X108" s="154"/>
      <c r="Y108" s="154"/>
      <c r="Z108" s="154"/>
      <c r="AA108" s="154"/>
      <c r="AE108" s="154"/>
      <c r="AF108" s="154"/>
      <c r="AG108" s="154"/>
      <c r="AH108" s="154"/>
      <c r="AI108" s="154"/>
      <c r="AJ108" s="154"/>
    </row>
    <row r="109" spans="3:42">
      <c r="C109" s="150"/>
      <c r="D109" s="154"/>
      <c r="E109" s="154"/>
      <c r="F109" s="150" t="s">
        <v>111</v>
      </c>
      <c r="G109" s="154"/>
      <c r="H109" s="154"/>
      <c r="I109" s="154"/>
      <c r="J109" s="193">
        <v>9786724</v>
      </c>
      <c r="K109" s="193"/>
      <c r="L109" s="193"/>
      <c r="M109" s="193"/>
      <c r="N109" s="193"/>
      <c r="O109" s="193"/>
      <c r="P109" s="193"/>
      <c r="Q109" s="154"/>
      <c r="R109" s="154"/>
      <c r="S109" s="154"/>
      <c r="T109" s="154"/>
      <c r="U109" s="154"/>
      <c r="W109" s="154"/>
      <c r="X109" s="154"/>
      <c r="Y109" s="154"/>
      <c r="Z109" s="154"/>
      <c r="AA109" s="154"/>
      <c r="AE109" s="154"/>
      <c r="AF109" s="154"/>
      <c r="AG109" s="154"/>
      <c r="AH109" s="154"/>
      <c r="AI109" s="154"/>
      <c r="AJ109" s="154"/>
    </row>
    <row r="110" spans="3:42">
      <c r="C110" s="150"/>
      <c r="D110" s="154"/>
      <c r="E110" s="154" t="s">
        <v>112</v>
      </c>
      <c r="G110" s="154"/>
      <c r="H110" s="154"/>
      <c r="I110" s="154"/>
      <c r="J110" s="193">
        <v>70128085</v>
      </c>
      <c r="K110" s="193"/>
      <c r="L110" s="193"/>
      <c r="M110" s="193"/>
      <c r="N110" s="193"/>
      <c r="O110" s="193"/>
      <c r="P110" s="193"/>
      <c r="Q110" s="154"/>
      <c r="R110" s="154"/>
      <c r="S110" s="154"/>
      <c r="T110" s="154"/>
      <c r="U110" s="154"/>
      <c r="W110" s="154"/>
      <c r="X110" s="154"/>
      <c r="Y110" s="154"/>
      <c r="Z110" s="154"/>
      <c r="AA110" s="154"/>
      <c r="AC110" s="150" t="s">
        <v>111</v>
      </c>
      <c r="AE110" s="154"/>
      <c r="AF110" s="154"/>
      <c r="AG110" s="154"/>
      <c r="AH110" s="154"/>
      <c r="AI110" s="154"/>
      <c r="AJ110" s="154"/>
    </row>
    <row r="111" spans="3:42">
      <c r="C111" s="150"/>
      <c r="D111" s="154"/>
      <c r="E111" s="154"/>
      <c r="G111" s="154"/>
      <c r="H111" s="154"/>
      <c r="I111" s="154"/>
      <c r="J111" s="193">
        <v>196049318</v>
      </c>
      <c r="K111" s="193"/>
      <c r="L111" s="193"/>
      <c r="M111" s="193"/>
      <c r="N111" s="193"/>
      <c r="O111" s="193"/>
      <c r="P111" s="193"/>
      <c r="Q111" s="154"/>
      <c r="R111" s="154"/>
      <c r="S111" s="154"/>
      <c r="T111" s="154"/>
      <c r="U111" s="154"/>
      <c r="W111" s="154"/>
      <c r="X111" s="154"/>
      <c r="Y111" s="154"/>
      <c r="Z111" s="154"/>
      <c r="AA111" s="154"/>
      <c r="AE111" s="154"/>
      <c r="AF111" s="154"/>
      <c r="AG111" s="154"/>
      <c r="AH111" s="154"/>
      <c r="AI111" s="154"/>
      <c r="AJ111" s="154"/>
    </row>
    <row r="112" spans="3:42">
      <c r="C112" s="150"/>
      <c r="D112" s="154" t="s">
        <v>111</v>
      </c>
      <c r="E112" s="154"/>
      <c r="G112" s="154"/>
      <c r="H112" s="154"/>
      <c r="I112" s="154"/>
      <c r="J112" s="193">
        <v>11409138</v>
      </c>
      <c r="K112" s="193"/>
      <c r="L112" s="193" t="s">
        <v>108</v>
      </c>
      <c r="M112" s="193"/>
      <c r="N112" s="193"/>
      <c r="O112" s="193"/>
      <c r="P112" s="193"/>
      <c r="Q112" s="154"/>
      <c r="R112" s="154"/>
      <c r="S112" s="154"/>
      <c r="T112" s="154"/>
      <c r="U112" s="154"/>
      <c r="W112" s="154"/>
      <c r="X112" s="154"/>
      <c r="Y112" s="154"/>
      <c r="Z112" s="154"/>
      <c r="AA112" s="154"/>
      <c r="AB112" s="150" t="s">
        <v>111</v>
      </c>
      <c r="AD112" s="150" t="s">
        <v>108</v>
      </c>
      <c r="AE112" s="154"/>
      <c r="AF112" s="154" t="s">
        <v>111</v>
      </c>
      <c r="AG112" s="154"/>
      <c r="AH112" s="154"/>
      <c r="AI112" s="154"/>
      <c r="AJ112" s="154"/>
    </row>
    <row r="113" spans="3:36">
      <c r="D113" s="193"/>
      <c r="E113" s="150" t="s">
        <v>111</v>
      </c>
      <c r="F113" s="219"/>
      <c r="G113" s="154" t="e">
        <f ca="1">[3]!terbilang(G105)</f>
        <v>#NAME?</v>
      </c>
      <c r="H113" s="154">
        <v>8859000</v>
      </c>
      <c r="I113" s="154" t="e">
        <f ca="1">[3]!terbilang(I105)</f>
        <v>#NAME?</v>
      </c>
      <c r="J113" s="154">
        <v>57188986</v>
      </c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W113" s="154"/>
      <c r="X113" s="154"/>
      <c r="Y113" s="248" t="e">
        <f ca="1">[3]!terbilang(Y103)</f>
        <v>#NAME?</v>
      </c>
      <c r="Z113" s="154" t="s">
        <v>111</v>
      </c>
      <c r="AA113" s="154"/>
      <c r="AC113" s="150" t="s">
        <v>112</v>
      </c>
      <c r="AE113" s="154">
        <v>17329877</v>
      </c>
      <c r="AF113" s="154"/>
      <c r="AG113" s="154"/>
      <c r="AH113" s="154"/>
      <c r="AI113" s="154"/>
      <c r="AJ113" s="154"/>
    </row>
    <row r="114" spans="3:36">
      <c r="G114" s="154"/>
      <c r="H114" s="154" t="e">
        <f ca="1">[3]!terbilang(H113)</f>
        <v>#NAME?</v>
      </c>
      <c r="I114" s="193">
        <v>1089999</v>
      </c>
      <c r="J114" s="193">
        <v>15000000</v>
      </c>
      <c r="K114" s="193" t="s">
        <v>112</v>
      </c>
      <c r="L114" s="401" t="s">
        <v>706</v>
      </c>
      <c r="M114" s="401"/>
      <c r="N114" s="401"/>
      <c r="O114" s="154"/>
      <c r="P114" s="401" t="s">
        <v>720</v>
      </c>
      <c r="Q114" s="401"/>
      <c r="R114" s="401"/>
      <c r="S114" s="401" t="s">
        <v>721</v>
      </c>
      <c r="T114" s="401"/>
      <c r="U114" s="401"/>
      <c r="W114" s="248"/>
      <c r="X114" s="248"/>
      <c r="Y114" s="154"/>
      <c r="Z114" s="154"/>
      <c r="AA114" s="154"/>
      <c r="AE114" s="154" t="e">
        <f ca="1">[3]!terbilang(AE113)</f>
        <v>#NAME?</v>
      </c>
      <c r="AF114" s="154"/>
      <c r="AG114" s="154"/>
      <c r="AH114" s="154"/>
      <c r="AI114" s="154"/>
      <c r="AJ114" s="154"/>
    </row>
    <row r="115" spans="3:36">
      <c r="G115" s="154"/>
      <c r="H115" s="154"/>
      <c r="I115" s="154"/>
      <c r="J115" s="154">
        <f>SUM(J108:J114)</f>
        <v>363206251</v>
      </c>
      <c r="K115" s="154"/>
      <c r="L115" s="176" t="s">
        <v>230</v>
      </c>
      <c r="M115" s="176" t="s">
        <v>444</v>
      </c>
      <c r="N115" s="176" t="s">
        <v>445</v>
      </c>
      <c r="O115" s="154"/>
      <c r="P115" s="285" t="s">
        <v>230</v>
      </c>
      <c r="Q115" s="285" t="s">
        <v>444</v>
      </c>
      <c r="R115" s="285" t="s">
        <v>445</v>
      </c>
      <c r="S115" s="285" t="s">
        <v>230</v>
      </c>
      <c r="T115" s="285" t="s">
        <v>444</v>
      </c>
      <c r="U115" s="285" t="s">
        <v>445</v>
      </c>
      <c r="W115" s="154"/>
      <c r="X115" s="154"/>
      <c r="Y115" s="248" t="e">
        <f ca="1">[3]!terbilang(Y114)</f>
        <v>#NAME?</v>
      </c>
      <c r="Z115" s="248"/>
      <c r="AA115" s="154"/>
      <c r="AB115" s="154"/>
      <c r="AE115" s="154"/>
      <c r="AF115" s="154"/>
      <c r="AG115" s="154"/>
      <c r="AH115" s="154"/>
      <c r="AI115" s="154"/>
      <c r="AJ115" s="154"/>
    </row>
    <row r="116" spans="3:36">
      <c r="D116" s="193">
        <v>56628134</v>
      </c>
      <c r="E116" s="154">
        <v>11313793</v>
      </c>
      <c r="F116" s="154">
        <v>4903555261</v>
      </c>
      <c r="G116" s="154">
        <v>22883258</v>
      </c>
      <c r="H116" s="193" t="s">
        <v>111</v>
      </c>
      <c r="I116" s="154" t="s">
        <v>111</v>
      </c>
      <c r="J116" s="154"/>
      <c r="K116" s="154"/>
      <c r="L116" s="176" t="s">
        <v>463</v>
      </c>
      <c r="M116" s="176" t="s">
        <v>707</v>
      </c>
      <c r="N116" s="176">
        <v>870000</v>
      </c>
      <c r="P116" s="176" t="s">
        <v>620</v>
      </c>
      <c r="Q116" s="176" t="s">
        <v>621</v>
      </c>
      <c r="R116" s="176">
        <v>5786000</v>
      </c>
      <c r="S116" s="176" t="s">
        <v>463</v>
      </c>
      <c r="T116" s="176" t="s">
        <v>722</v>
      </c>
      <c r="U116" s="176">
        <v>11289000</v>
      </c>
      <c r="W116" s="248"/>
      <c r="X116" s="248"/>
      <c r="Z116" s="154"/>
      <c r="AA116" s="154"/>
      <c r="AB116" s="154"/>
      <c r="AE116" s="154"/>
      <c r="AF116" s="154"/>
      <c r="AG116" s="154"/>
      <c r="AH116" s="154"/>
      <c r="AI116" s="154"/>
      <c r="AJ116" s="154"/>
    </row>
    <row r="117" spans="3:36">
      <c r="D117" s="193"/>
      <c r="E117" s="154"/>
      <c r="F117" s="154"/>
      <c r="G117" s="154"/>
      <c r="H117" s="193"/>
      <c r="I117" s="154"/>
      <c r="J117" s="154"/>
      <c r="K117" s="154"/>
      <c r="L117" s="176" t="s">
        <v>466</v>
      </c>
      <c r="M117" s="176" t="s">
        <v>708</v>
      </c>
      <c r="N117" s="176">
        <v>582000</v>
      </c>
      <c r="P117" s="176" t="s">
        <v>625</v>
      </c>
      <c r="Q117" s="176" t="s">
        <v>626</v>
      </c>
      <c r="R117" s="176">
        <v>500000</v>
      </c>
      <c r="S117" s="176" t="s">
        <v>724</v>
      </c>
      <c r="T117" s="169" t="s">
        <v>725</v>
      </c>
      <c r="U117" s="176">
        <v>11745160</v>
      </c>
      <c r="W117" s="248"/>
      <c r="X117" s="248"/>
      <c r="Z117" s="154"/>
      <c r="AA117" s="154"/>
      <c r="AB117" s="154"/>
      <c r="AE117" s="154"/>
      <c r="AF117" s="154"/>
      <c r="AG117" s="154"/>
      <c r="AH117" s="154"/>
      <c r="AI117" s="154"/>
      <c r="AJ117" s="154"/>
    </row>
    <row r="118" spans="3:36">
      <c r="D118" s="193" t="e">
        <f ca="1">[3]!terbilang(D116)</f>
        <v>#NAME?</v>
      </c>
      <c r="E118" s="193" t="e">
        <f ca="1">[3]!terbilang(E116)</f>
        <v>#NAME?</v>
      </c>
      <c r="F118" s="193" t="e">
        <f ca="1">[3]!terbilang(F116)</f>
        <v>#NAME?</v>
      </c>
      <c r="G118" s="193" t="e">
        <f ca="1">[3]!terbilang(G116)</f>
        <v>#NAME?</v>
      </c>
      <c r="H118" s="193" t="e">
        <f ca="1">[3]!terbilang(H116)</f>
        <v>#NAME?</v>
      </c>
      <c r="I118" s="154" t="s">
        <v>108</v>
      </c>
      <c r="J118" s="154"/>
      <c r="K118" s="154"/>
      <c r="L118" s="176" t="s">
        <v>467</v>
      </c>
      <c r="M118" s="176" t="s">
        <v>583</v>
      </c>
      <c r="N118" s="176">
        <v>1125000</v>
      </c>
      <c r="P118" s="176" t="s">
        <v>437</v>
      </c>
      <c r="Q118" s="176" t="s">
        <v>622</v>
      </c>
      <c r="R118" s="176">
        <v>3015600</v>
      </c>
      <c r="S118" s="176" t="s">
        <v>464</v>
      </c>
      <c r="T118" s="176" t="s">
        <v>707</v>
      </c>
      <c r="U118" s="176">
        <v>1835000</v>
      </c>
      <c r="X118" s="154"/>
      <c r="Z118" s="154"/>
      <c r="AA118" s="154">
        <v>10244300</v>
      </c>
      <c r="AB118" s="154">
        <v>1687597784</v>
      </c>
      <c r="AC118" s="154">
        <v>10886157</v>
      </c>
      <c r="AD118" s="154">
        <v>3902561</v>
      </c>
      <c r="AE118" s="154"/>
      <c r="AF118" s="154"/>
      <c r="AG118" s="154"/>
      <c r="AH118" s="154"/>
      <c r="AI118" s="154"/>
      <c r="AJ118" s="154"/>
    </row>
    <row r="119" spans="3:36">
      <c r="D119" s="193">
        <v>2867700789</v>
      </c>
      <c r="E119" s="193">
        <v>13711355</v>
      </c>
      <c r="F119" s="193">
        <v>2813544</v>
      </c>
      <c r="G119" s="193">
        <v>1144573898</v>
      </c>
      <c r="H119" s="193"/>
      <c r="I119" s="154"/>
      <c r="J119" s="154"/>
      <c r="K119" s="154"/>
      <c r="L119" s="176" t="s">
        <v>468</v>
      </c>
      <c r="M119" s="169" t="s">
        <v>708</v>
      </c>
      <c r="N119" s="176">
        <v>653000</v>
      </c>
      <c r="P119" s="176" t="s">
        <v>623</v>
      </c>
      <c r="Q119" s="169" t="s">
        <v>624</v>
      </c>
      <c r="R119" s="176">
        <v>8643800</v>
      </c>
      <c r="S119" s="176" t="s">
        <v>594</v>
      </c>
      <c r="T119" s="176" t="s">
        <v>723</v>
      </c>
      <c r="U119" s="176">
        <v>2913405</v>
      </c>
      <c r="W119" s="154"/>
      <c r="X119" s="154">
        <v>30000</v>
      </c>
      <c r="Z119" s="154"/>
      <c r="AA119" s="154" t="str">
        <f>[4]!TERBILANG(AA118)</f>
        <v xml:space="preserve">Sepuluh Juta Duaratus Empatpuluh Empat Ribu Tigaratus  </v>
      </c>
      <c r="AB119" s="154" t="e">
        <f ca="1">[3]!terbilang(AB118)</f>
        <v>#NAME?</v>
      </c>
      <c r="AC119" s="154" t="str">
        <f>[4]!TERBILANG(AC118)</f>
        <v xml:space="preserve">Sepuluh Juta Delapanratus Delapanpuluh Enam Ribu Seratus Limapuluh Tujuh </v>
      </c>
      <c r="AD119" s="154" t="e">
        <f ca="1">[3]!terbilang(AD118)</f>
        <v>#NAME?</v>
      </c>
      <c r="AE119" s="154" t="e">
        <f ca="1">[3]!terbilang(AE118)</f>
        <v>#NAME?</v>
      </c>
      <c r="AF119" s="154"/>
      <c r="AG119" s="154"/>
      <c r="AH119" s="154"/>
      <c r="AI119" s="154"/>
      <c r="AJ119" s="154"/>
    </row>
    <row r="120" spans="3:36">
      <c r="D120" s="193"/>
      <c r="E120" s="193"/>
      <c r="F120" s="193"/>
      <c r="G120" s="193"/>
      <c r="H120" s="193"/>
      <c r="I120" s="154"/>
      <c r="J120" s="154"/>
      <c r="K120" s="154"/>
      <c r="L120" s="176" t="s">
        <v>469</v>
      </c>
      <c r="M120" s="176" t="s">
        <v>708</v>
      </c>
      <c r="N120" s="176">
        <v>10000000</v>
      </c>
      <c r="P120" s="176"/>
      <c r="Q120" s="169"/>
      <c r="R120" s="176"/>
      <c r="S120" s="176" t="s">
        <v>468</v>
      </c>
      <c r="T120" s="169" t="s">
        <v>707</v>
      </c>
      <c r="U120" s="176">
        <v>900000</v>
      </c>
      <c r="W120" s="154"/>
      <c r="X120" s="154"/>
      <c r="Z120" s="154"/>
      <c r="AA120" s="154"/>
      <c r="AB120" s="154"/>
      <c r="AC120" s="154"/>
      <c r="AD120" s="154"/>
      <c r="AE120" s="154"/>
      <c r="AF120" s="154"/>
      <c r="AG120" s="154"/>
      <c r="AH120" s="154"/>
      <c r="AI120" s="154"/>
      <c r="AJ120" s="154"/>
    </row>
    <row r="121" spans="3:36">
      <c r="D121" s="193"/>
      <c r="E121" s="193"/>
      <c r="F121" s="193"/>
      <c r="G121" s="193"/>
      <c r="H121" s="193"/>
      <c r="I121" s="154"/>
      <c r="J121" s="154"/>
      <c r="K121" s="154"/>
      <c r="L121" s="176" t="s">
        <v>709</v>
      </c>
      <c r="M121" s="176" t="s">
        <v>710</v>
      </c>
      <c r="N121" s="176">
        <v>5950000</v>
      </c>
      <c r="P121" s="176"/>
      <c r="Q121" s="169"/>
      <c r="R121" s="176"/>
      <c r="S121" s="176" t="s">
        <v>469</v>
      </c>
      <c r="T121" s="169" t="s">
        <v>728</v>
      </c>
      <c r="U121" s="176">
        <v>19570000</v>
      </c>
      <c r="W121" s="154"/>
      <c r="X121" s="154"/>
      <c r="Z121" s="154"/>
      <c r="AA121" s="154"/>
      <c r="AB121" s="154"/>
      <c r="AC121" s="154"/>
      <c r="AD121" s="154"/>
      <c r="AE121" s="154"/>
      <c r="AF121" s="154" t="s">
        <v>111</v>
      </c>
      <c r="AG121" s="154"/>
      <c r="AH121" s="154"/>
      <c r="AI121" s="154"/>
      <c r="AJ121" s="154"/>
    </row>
    <row r="122" spans="3:36">
      <c r="D122" s="193"/>
      <c r="E122" s="193"/>
      <c r="F122" s="193"/>
      <c r="G122" s="193"/>
      <c r="H122" s="193"/>
      <c r="I122" s="154"/>
      <c r="J122" s="154"/>
      <c r="K122" s="154"/>
      <c r="L122" s="176"/>
      <c r="M122" s="169"/>
      <c r="N122" s="176"/>
      <c r="P122" s="176"/>
      <c r="Q122" s="169"/>
      <c r="R122" s="176"/>
      <c r="S122" s="176" t="s">
        <v>472</v>
      </c>
      <c r="T122" s="169" t="s">
        <v>707</v>
      </c>
      <c r="U122" s="176">
        <v>1830000</v>
      </c>
      <c r="W122" s="154"/>
      <c r="X122" s="154"/>
      <c r="Z122" s="154"/>
      <c r="AA122" s="154"/>
      <c r="AB122" s="154"/>
      <c r="AC122" s="154"/>
      <c r="AD122" s="154"/>
      <c r="AE122" s="154"/>
      <c r="AF122" s="154"/>
      <c r="AG122" s="154"/>
      <c r="AH122" s="154"/>
      <c r="AI122" s="154"/>
      <c r="AJ122" s="154"/>
    </row>
    <row r="123" spans="3:36">
      <c r="D123" s="193"/>
      <c r="E123" s="193"/>
      <c r="F123" s="193"/>
      <c r="G123" s="193"/>
      <c r="H123" s="193"/>
      <c r="I123" s="154"/>
      <c r="J123" s="154"/>
      <c r="K123" s="154"/>
      <c r="L123" s="176"/>
      <c r="M123" s="169"/>
      <c r="N123" s="176"/>
      <c r="P123" s="176"/>
      <c r="Q123" s="169"/>
      <c r="R123" s="176"/>
      <c r="S123" s="176" t="s">
        <v>727</v>
      </c>
      <c r="T123" s="169" t="s">
        <v>726</v>
      </c>
      <c r="U123" s="176">
        <v>2775000</v>
      </c>
      <c r="W123" s="154"/>
      <c r="X123" s="154"/>
      <c r="Z123" s="154"/>
      <c r="AA123" s="154"/>
      <c r="AB123" s="154"/>
      <c r="AC123" s="154"/>
      <c r="AD123" s="154"/>
      <c r="AE123" s="154"/>
      <c r="AF123" s="154"/>
      <c r="AG123" s="154"/>
      <c r="AH123" s="154"/>
      <c r="AI123" s="154"/>
      <c r="AJ123" s="154"/>
    </row>
    <row r="124" spans="3:36">
      <c r="D124" s="193"/>
      <c r="E124" s="193"/>
      <c r="F124" s="193"/>
      <c r="G124" s="193"/>
      <c r="H124" s="193"/>
      <c r="I124" s="154"/>
      <c r="J124" s="154"/>
      <c r="K124" s="154"/>
      <c r="L124" s="176"/>
      <c r="M124" s="169"/>
      <c r="N124" s="176"/>
      <c r="P124" s="176"/>
      <c r="Q124" s="169"/>
      <c r="R124" s="176"/>
      <c r="S124" s="176" t="s">
        <v>729</v>
      </c>
      <c r="T124" s="169" t="s">
        <v>730</v>
      </c>
      <c r="U124" s="176">
        <v>3000000</v>
      </c>
      <c r="W124" s="154"/>
      <c r="X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</row>
    <row r="125" spans="3:36">
      <c r="D125" s="193"/>
      <c r="E125" s="193"/>
      <c r="F125" s="193"/>
      <c r="G125" s="193"/>
      <c r="H125" s="193"/>
      <c r="I125" s="154"/>
      <c r="J125" s="154"/>
      <c r="K125" s="154"/>
      <c r="L125" s="176"/>
      <c r="M125" s="169"/>
      <c r="N125" s="176"/>
      <c r="P125" s="176"/>
      <c r="Q125" s="169"/>
      <c r="R125" s="176"/>
      <c r="S125" s="176"/>
      <c r="T125" s="169"/>
      <c r="U125" s="176"/>
      <c r="W125" s="154"/>
      <c r="X125" s="154"/>
      <c r="Z125" s="154"/>
      <c r="AA125" s="154"/>
      <c r="AB125" s="154"/>
      <c r="AC125" s="154"/>
      <c r="AD125" s="154"/>
      <c r="AE125" s="154"/>
      <c r="AF125" s="154" t="s">
        <v>111</v>
      </c>
      <c r="AG125" s="154"/>
      <c r="AH125" s="154"/>
      <c r="AI125" s="154"/>
      <c r="AJ125" s="154"/>
    </row>
    <row r="126" spans="3:36">
      <c r="C126" s="150"/>
      <c r="D126" s="193" t="s">
        <v>542</v>
      </c>
      <c r="E126" s="154"/>
      <c r="F126" s="154"/>
      <c r="G126" s="154"/>
      <c r="H126" s="154"/>
      <c r="J126" s="154"/>
      <c r="K126" s="154"/>
      <c r="L126" s="227" t="s">
        <v>563</v>
      </c>
      <c r="M126" s="192"/>
      <c r="N126" s="227">
        <f>SUM(N116:N122)</f>
        <v>19180000</v>
      </c>
      <c r="P126" s="227" t="s">
        <v>563</v>
      </c>
      <c r="Q126" s="192"/>
      <c r="R126" s="227">
        <f>SUM(R116:R122)</f>
        <v>17945400</v>
      </c>
      <c r="S126" s="227" t="s">
        <v>563</v>
      </c>
      <c r="T126" s="192"/>
      <c r="U126" s="227">
        <f>SUM(U116:U124)</f>
        <v>55857565</v>
      </c>
      <c r="W126" s="248"/>
      <c r="X126" s="248" t="e">
        <f ca="1">[3]!terbilang(#REF!)</f>
        <v>#NAME?</v>
      </c>
      <c r="Z126" s="154"/>
      <c r="AA126" s="154" t="e">
        <f ca="1">[3]!terbilang(#REF!)</f>
        <v>#NAME?</v>
      </c>
      <c r="AB126" s="154" t="e">
        <f ca="1">[3]!terbilang(#REF!)</f>
        <v>#NAME?</v>
      </c>
      <c r="AC126" s="154" t="e">
        <f ca="1">[3]!terbilang(#REF!)</f>
        <v>#NAME?</v>
      </c>
      <c r="AD126" s="154" t="e">
        <f ca="1">[3]!terbilang(#REF!)</f>
        <v>#NAME?</v>
      </c>
      <c r="AF126" s="154"/>
      <c r="AG126" s="154"/>
      <c r="AH126" s="154"/>
    </row>
    <row r="127" spans="3:36">
      <c r="C127" s="150"/>
      <c r="D127" s="193"/>
      <c r="E127" s="193"/>
      <c r="F127" s="193"/>
      <c r="G127" s="193"/>
      <c r="H127" s="154"/>
      <c r="J127" s="193"/>
      <c r="K127" s="193"/>
      <c r="L127" s="154"/>
      <c r="N127" s="154"/>
      <c r="P127" s="154"/>
      <c r="Q127" s="154"/>
      <c r="R127" s="154"/>
      <c r="T127" s="154"/>
      <c r="Z127" s="154" t="s">
        <v>112</v>
      </c>
      <c r="AA127" s="154">
        <v>21276666</v>
      </c>
      <c r="AB127" s="154">
        <v>7518000</v>
      </c>
      <c r="AC127" s="154" t="s">
        <v>111</v>
      </c>
      <c r="AD127" s="154"/>
      <c r="AE127" s="154"/>
      <c r="AF127" s="154"/>
      <c r="AG127" s="154"/>
      <c r="AH127" s="154"/>
    </row>
    <row r="128" spans="3:36">
      <c r="C128" s="150"/>
      <c r="D128" s="193"/>
      <c r="E128" s="154" t="s">
        <v>104</v>
      </c>
      <c r="F128" s="154">
        <v>282181644</v>
      </c>
      <c r="G128" s="154"/>
      <c r="H128" s="154"/>
      <c r="J128" s="193"/>
      <c r="K128" s="193"/>
      <c r="L128" s="154"/>
      <c r="N128" s="154"/>
      <c r="P128" s="154"/>
      <c r="Q128" s="154"/>
      <c r="R128" s="154"/>
      <c r="T128" s="154"/>
      <c r="V128" s="185"/>
      <c r="X128" s="154"/>
      <c r="Z128" s="154"/>
      <c r="AA128" s="154" t="e">
        <f ca="1">[3]!terbilang(AA127)</f>
        <v>#NAME?</v>
      </c>
      <c r="AB128" s="154" t="e">
        <f ca="1">[3]!terbilang(AB127)</f>
        <v>#NAME?</v>
      </c>
      <c r="AC128" s="154" t="e">
        <f ca="1">[3]!terbilang(AC127)</f>
        <v>#NAME?</v>
      </c>
      <c r="AD128" s="154" t="e">
        <f ca="1">[3]!terbilang(AD127)</f>
        <v>#NAME?</v>
      </c>
      <c r="AE128" s="154" t="e">
        <f ca="1">[3]!terbilang(AE127)</f>
        <v>#NAME?</v>
      </c>
      <c r="AG128" s="154"/>
      <c r="AH128" s="154"/>
    </row>
    <row r="129" spans="3:33">
      <c r="C129" s="150"/>
      <c r="D129" s="193"/>
      <c r="E129" s="193" t="s">
        <v>651</v>
      </c>
      <c r="F129" s="193">
        <v>31039981</v>
      </c>
      <c r="G129" s="193"/>
      <c r="H129" s="154"/>
      <c r="I129" s="154">
        <v>300966517</v>
      </c>
      <c r="J129" s="193"/>
      <c r="K129" s="193"/>
      <c r="N129" s="154"/>
      <c r="O129" s="150" t="s">
        <v>111</v>
      </c>
      <c r="R129" s="185"/>
      <c r="T129" s="154">
        <v>825503</v>
      </c>
      <c r="U129" s="154">
        <v>13087000</v>
      </c>
      <c r="V129" s="154">
        <v>7529997</v>
      </c>
      <c r="W129" s="154">
        <v>8950000</v>
      </c>
      <c r="Z129" s="154" t="s">
        <v>111</v>
      </c>
      <c r="AA129" s="154">
        <v>10350000</v>
      </c>
      <c r="AB129" s="154">
        <v>22729543</v>
      </c>
      <c r="AC129" s="154">
        <v>16303742</v>
      </c>
      <c r="AD129" s="154"/>
      <c r="AE129" s="154"/>
      <c r="AF129" s="154"/>
    </row>
    <row r="130" spans="3:33">
      <c r="C130" s="150"/>
      <c r="D130" s="193" t="s">
        <v>545</v>
      </c>
      <c r="E130" s="154" t="s">
        <v>652</v>
      </c>
      <c r="F130" s="154">
        <f>F128*15%</f>
        <v>42327246.600000001</v>
      </c>
      <c r="G130" s="154"/>
      <c r="H130" s="154">
        <v>8845339</v>
      </c>
      <c r="I130" s="154"/>
      <c r="J130" s="193"/>
      <c r="K130" s="193"/>
      <c r="N130" s="154"/>
      <c r="R130" s="185">
        <v>44545</v>
      </c>
      <c r="S130" s="150" t="s">
        <v>112</v>
      </c>
      <c r="T130" s="154" t="str">
        <f>[4]!TERBILANG(T129)</f>
        <v xml:space="preserve">Delapanratus Duapuluh Lima Ribu Limaratus Tiga </v>
      </c>
      <c r="U130" s="154" t="e">
        <f ca="1">[3]!terbilang(U129)</f>
        <v>#NAME?</v>
      </c>
      <c r="V130" s="154" t="e">
        <f ca="1">[3]!terbilang(V129)</f>
        <v>#NAME?</v>
      </c>
      <c r="W130" s="154" t="e">
        <f ca="1">[3]!terbilang(W129)</f>
        <v>#NAME?</v>
      </c>
      <c r="AA130" s="154" t="e">
        <f ca="1">[3]!terbilang(AA129)</f>
        <v>#NAME?</v>
      </c>
      <c r="AB130" s="154" t="e">
        <f ca="1">[3]!terbilang(AB129)</f>
        <v>#NAME?</v>
      </c>
      <c r="AC130" s="154" t="e">
        <f ca="1">[3]!terbilang(AC129)</f>
        <v>#NAME?</v>
      </c>
      <c r="AD130" s="154" t="e">
        <f ca="1">[3]!terbilang(AD129)</f>
        <v>#NAME?</v>
      </c>
    </row>
    <row r="131" spans="3:33">
      <c r="C131" s="150"/>
      <c r="D131" s="193"/>
      <c r="E131" s="154" t="s">
        <v>653</v>
      </c>
      <c r="F131" s="154">
        <f>F128+F129-F130</f>
        <v>270894378.39999998</v>
      </c>
      <c r="G131" s="154"/>
      <c r="H131" s="154">
        <v>59202460</v>
      </c>
      <c r="I131" s="154"/>
      <c r="J131" s="193"/>
      <c r="K131" s="193"/>
      <c r="N131" s="154"/>
      <c r="R131" s="185">
        <v>44545</v>
      </c>
      <c r="T131" s="154">
        <v>2775000</v>
      </c>
      <c r="U131" s="154">
        <v>77264972</v>
      </c>
      <c r="V131" s="150">
        <v>3031731</v>
      </c>
      <c r="W131" s="150">
        <v>3025000</v>
      </c>
      <c r="X131" s="150">
        <v>39097062</v>
      </c>
      <c r="AA131" s="154">
        <v>5260710</v>
      </c>
      <c r="AB131" s="154">
        <v>42449921</v>
      </c>
      <c r="AC131" s="154"/>
      <c r="AD131" s="154"/>
    </row>
    <row r="132" spans="3:33">
      <c r="C132" s="150"/>
      <c r="D132" s="193"/>
      <c r="E132" s="154" t="s">
        <v>112</v>
      </c>
      <c r="F132" s="154"/>
      <c r="G132" s="154"/>
      <c r="H132" s="154">
        <v>14400000</v>
      </c>
      <c r="I132" s="154"/>
      <c r="J132" s="193"/>
      <c r="K132" s="193" t="s">
        <v>658</v>
      </c>
      <c r="Q132" s="150" t="s">
        <v>714</v>
      </c>
      <c r="R132" s="150" t="s">
        <v>715</v>
      </c>
      <c r="T132" s="154" t="e">
        <f ca="1">[3]!terbilang(T131)</f>
        <v>#NAME?</v>
      </c>
      <c r="U132" s="154" t="e">
        <f ca="1">[3]!terbilang(U131)</f>
        <v>#NAME?</v>
      </c>
      <c r="V132" s="154" t="e">
        <f ca="1">[3]!terbilang(V131)</f>
        <v>#NAME?</v>
      </c>
      <c r="W132" s="154" t="e">
        <f ca="1">[3]!terbilang(W131)</f>
        <v>#NAME?</v>
      </c>
      <c r="X132" s="154" t="e">
        <f ca="1">[3]!terbilang(X131)</f>
        <v>#NAME?</v>
      </c>
      <c r="Y132" s="154" t="e">
        <f ca="1">[3]!terbilang(Y131)</f>
        <v>#NAME?</v>
      </c>
      <c r="AA132" s="154" t="e">
        <f ca="1">[3]!terbilang(AA131)</f>
        <v>#NAME?</v>
      </c>
      <c r="AB132" s="154" t="e">
        <f ca="1">[3]!terbilang(AB131)</f>
        <v>#NAME?</v>
      </c>
      <c r="AC132" s="154" t="e">
        <f ca="1">[3]!terbilang(AC131)</f>
        <v>#NAME?</v>
      </c>
      <c r="AD132" s="154"/>
    </row>
    <row r="133" spans="3:33">
      <c r="C133" s="150"/>
      <c r="D133" s="193"/>
      <c r="E133" s="154"/>
      <c r="F133" s="154"/>
      <c r="G133" s="154"/>
      <c r="H133" s="154"/>
      <c r="I133" s="154"/>
      <c r="J133" s="193"/>
      <c r="K133" s="193"/>
      <c r="P133" s="150" t="s">
        <v>111</v>
      </c>
      <c r="Q133" s="150" t="s">
        <v>716</v>
      </c>
      <c r="R133" s="150" t="s">
        <v>719</v>
      </c>
      <c r="S133" s="150" t="s">
        <v>717</v>
      </c>
      <c r="T133" s="154"/>
      <c r="U133" s="154">
        <v>900000</v>
      </c>
      <c r="V133" s="154">
        <v>26564276</v>
      </c>
      <c r="W133" s="154">
        <v>14544781</v>
      </c>
      <c r="X133" s="154">
        <v>60445323</v>
      </c>
      <c r="Y133" s="154">
        <v>99250443</v>
      </c>
      <c r="AA133" s="154"/>
      <c r="AB133" s="154"/>
      <c r="AC133" s="154"/>
      <c r="AD133" s="154"/>
    </row>
    <row r="134" spans="3:33">
      <c r="C134" s="150"/>
      <c r="D134" s="193"/>
      <c r="E134" s="154"/>
      <c r="F134" s="154"/>
      <c r="G134" s="154"/>
      <c r="H134" s="154"/>
      <c r="I134" s="154"/>
      <c r="J134" s="193"/>
      <c r="K134" s="193"/>
      <c r="O134" s="150" t="s">
        <v>112</v>
      </c>
      <c r="Q134" s="150" t="s">
        <v>718</v>
      </c>
      <c r="T134" s="154"/>
      <c r="U134" s="154" t="e">
        <f ca="1">[3]!terbilang(U133)</f>
        <v>#NAME?</v>
      </c>
      <c r="V134" s="154" t="e">
        <f ca="1">[3]!terbilang(V133)</f>
        <v>#NAME?</v>
      </c>
      <c r="W134" s="154" t="e">
        <f ca="1">[3]!terbilang(W133)</f>
        <v>#NAME?</v>
      </c>
      <c r="X134" s="154" t="e">
        <f ca="1">[3]!terbilang(X133)</f>
        <v>#NAME?</v>
      </c>
      <c r="Y134" s="154" t="e">
        <f ca="1">[3]!terbilang(Y133)</f>
        <v>#NAME?</v>
      </c>
      <c r="AA134" s="154"/>
      <c r="AB134" s="154"/>
      <c r="AC134" s="154"/>
      <c r="AD134" s="154"/>
    </row>
    <row r="135" spans="3:33">
      <c r="C135" s="150"/>
      <c r="D135" s="193"/>
      <c r="E135" s="154"/>
      <c r="F135" s="154"/>
      <c r="G135" s="154"/>
      <c r="H135" s="154"/>
      <c r="I135" s="154"/>
      <c r="J135" s="193"/>
      <c r="K135" s="193"/>
      <c r="T135" s="154"/>
      <c r="U135" s="154">
        <v>32027156</v>
      </c>
      <c r="V135" s="154">
        <v>46748378</v>
      </c>
      <c r="W135" s="154"/>
      <c r="X135" s="154"/>
      <c r="Y135" s="154"/>
      <c r="AA135" s="154"/>
      <c r="AB135" s="154"/>
      <c r="AC135" s="154"/>
      <c r="AD135" s="154"/>
      <c r="AE135" s="150" t="s">
        <v>699</v>
      </c>
    </row>
    <row r="136" spans="3:33">
      <c r="C136" s="150"/>
      <c r="D136" s="193"/>
      <c r="E136" s="193"/>
      <c r="F136" s="193" t="s">
        <v>111</v>
      </c>
      <c r="G136" s="193"/>
      <c r="H136" s="154">
        <v>9735803</v>
      </c>
      <c r="I136" s="154">
        <v>1635000</v>
      </c>
      <c r="R136" s="185"/>
      <c r="U136" s="154" t="e">
        <f ca="1">[3]!terbilang(U135)</f>
        <v>#NAME?</v>
      </c>
      <c r="V136" s="154" t="e">
        <f ca="1">[3]!terbilang(V135)</f>
        <v>#NAME?</v>
      </c>
      <c r="W136" s="154" t="e">
        <f ca="1">[3]!terbilang(W135)</f>
        <v>#NAME?</v>
      </c>
      <c r="X136" s="154" t="e">
        <f ca="1">[3]!terbilang(X135)</f>
        <v>#NAME?</v>
      </c>
      <c r="Y136" s="154" t="e">
        <f ca="1">[3]!terbilang(Y135)</f>
        <v>#NAME?</v>
      </c>
      <c r="AA136" s="150" t="s">
        <v>111</v>
      </c>
      <c r="AB136" s="150" t="s">
        <v>111</v>
      </c>
      <c r="AD136" s="154" t="s">
        <v>111</v>
      </c>
      <c r="AE136" s="150" t="s">
        <v>694</v>
      </c>
      <c r="AG136" s="154">
        <v>14458500</v>
      </c>
    </row>
    <row r="137" spans="3:33">
      <c r="C137" s="150"/>
      <c r="D137" s="171">
        <v>111297455</v>
      </c>
      <c r="E137" s="154">
        <v>38649240</v>
      </c>
      <c r="F137" s="154">
        <v>4630930</v>
      </c>
      <c r="G137" s="154">
        <v>3757161272</v>
      </c>
      <c r="H137" s="154">
        <v>102022038</v>
      </c>
      <c r="I137" s="154" t="str">
        <f>[4]!TERBILANG(I136)</f>
        <v xml:space="preserve">Satu Juta Enamratus Tigapuluh Lima Ribu </v>
      </c>
      <c r="P137" s="154">
        <v>1707503587</v>
      </c>
      <c r="Q137" s="154">
        <v>3887260894</v>
      </c>
      <c r="R137" s="154">
        <v>20079631</v>
      </c>
      <c r="S137" s="154">
        <v>1684952150</v>
      </c>
      <c r="T137" s="154" t="e">
        <f ca="1">[3]!terbilang(T136)</f>
        <v>#NAME?</v>
      </c>
      <c r="U137" s="154" t="e">
        <f ca="1">[3]!terbilang(U136)</f>
        <v>#NAME?</v>
      </c>
      <c r="V137" s="154" t="e">
        <f ca="1">[3]!terbilang(V136)</f>
        <v>#NAME?</v>
      </c>
      <c r="W137" s="154" t="e">
        <f ca="1">[3]!terbilang(W136)</f>
        <v>#NAME?</v>
      </c>
      <c r="X137" s="154" t="e">
        <f ca="1">[3]!terbilang(X136)</f>
        <v>#NAME?</v>
      </c>
      <c r="Y137" s="154" t="e">
        <f ca="1">[3]!terbilang(Y136)</f>
        <v>#NAME?</v>
      </c>
      <c r="AA137" s="154"/>
      <c r="AB137" s="154"/>
      <c r="AC137" s="154" t="s">
        <v>111</v>
      </c>
      <c r="AE137" s="150" t="s">
        <v>695</v>
      </c>
      <c r="AG137" s="154">
        <v>7914768</v>
      </c>
    </row>
    <row r="138" spans="3:33">
      <c r="C138" s="150"/>
      <c r="D138" s="193" t="str">
        <f>[4]!TERBILANG(D137)</f>
        <v xml:space="preserve">Seratus Sebelas Juta Duaratus Sembilanpuluh Tujuh Ribu Empatratus Limapuluh Lima </v>
      </c>
      <c r="E138" s="193" t="e">
        <f ca="1">[3]!terbilang(E137)</f>
        <v>#NAME?</v>
      </c>
      <c r="F138" s="193" t="e">
        <f ca="1">[3]!terbilang(F137)</f>
        <v>#NAME?</v>
      </c>
      <c r="G138" s="193" t="e">
        <f ca="1">[3]!terbilang(G137)</f>
        <v>#NAME?</v>
      </c>
      <c r="H138" s="154">
        <v>43801144</v>
      </c>
      <c r="I138" s="154"/>
      <c r="P138" s="154" t="str">
        <f>[4]!TERBILANG(P137)</f>
        <v xml:space="preserve">Satu Miliar Tujuhratus Tujuh Juta Limaratus Tiga Ribu Limaratus Delapanpuluh Tujuh </v>
      </c>
      <c r="Q138" s="154" t="str">
        <f>[4]!TERBILANG(Q137)</f>
        <v xml:space="preserve">Tiga Miliar Delapanratus Delapanpuluh Tujuh Juta Duaratus Enampuluh  Ribu Delapanratus Sembilanpuluh Empat </v>
      </c>
      <c r="R138" s="154" t="e">
        <f ca="1">[3]!terbilang(R137)</f>
        <v>#NAME?</v>
      </c>
      <c r="S138" s="154" t="s">
        <v>89</v>
      </c>
      <c r="T138" s="154"/>
      <c r="AC138" s="150" t="s">
        <v>112</v>
      </c>
      <c r="AD138" s="154"/>
      <c r="AE138" s="150" t="s">
        <v>696</v>
      </c>
      <c r="AF138" s="150" t="s">
        <v>136</v>
      </c>
      <c r="AG138" s="154">
        <v>400000</v>
      </c>
    </row>
    <row r="139" spans="3:33">
      <c r="C139" s="150"/>
      <c r="D139" s="193">
        <v>21708043</v>
      </c>
      <c r="E139" s="154"/>
      <c r="F139" s="154"/>
      <c r="G139" s="154"/>
      <c r="H139" s="154">
        <v>408494</v>
      </c>
      <c r="I139" s="154"/>
      <c r="P139" s="154">
        <v>1889663</v>
      </c>
      <c r="Q139" s="154">
        <v>78873000</v>
      </c>
      <c r="R139" s="154">
        <v>14663364</v>
      </c>
      <c r="S139" s="154">
        <v>11409138</v>
      </c>
      <c r="T139" s="154"/>
      <c r="Y139" s="154">
        <v>143554320</v>
      </c>
      <c r="Z139" s="154"/>
      <c r="AA139" s="154"/>
      <c r="AB139" s="154"/>
      <c r="AC139" s="154"/>
      <c r="AE139" s="150" t="s">
        <v>697</v>
      </c>
      <c r="AF139" s="150" t="s">
        <v>136</v>
      </c>
      <c r="AG139" s="154">
        <v>1852000</v>
      </c>
    </row>
    <row r="140" spans="3:33">
      <c r="C140" s="150"/>
      <c r="D140" s="193">
        <v>2398726114</v>
      </c>
      <c r="E140" s="154">
        <v>2490573319</v>
      </c>
      <c r="F140" s="154">
        <v>989583824</v>
      </c>
      <c r="G140" s="154">
        <v>6074945</v>
      </c>
      <c r="H140" s="154"/>
      <c r="I140" s="154">
        <f>SUM(H130:H139)</f>
        <v>238415278</v>
      </c>
      <c r="P140" s="154" t="e">
        <f ca="1">[3]!terbilang(P139)</f>
        <v>#NAME?</v>
      </c>
      <c r="Q140" s="154" t="e">
        <f ca="1">[3]!terbilang(Q139)</f>
        <v>#NAME?</v>
      </c>
      <c r="R140" s="154" t="e">
        <f ca="1">[3]!terbilang(R139)</f>
        <v>#NAME?</v>
      </c>
      <c r="S140" s="154" t="e">
        <f ca="1">[3]!terbilang(S139)</f>
        <v>#NAME?</v>
      </c>
      <c r="T140" s="154"/>
      <c r="Y140" s="154" t="str">
        <f>[4]!TERBILANG(Y139)</f>
        <v xml:space="preserve">Seratus Empatpuluh Tiga Juta Limaratus Limapuluh Empat Ribu Tigaratus Duapuluh  </v>
      </c>
      <c r="Z140" s="154"/>
      <c r="AB140" s="154"/>
      <c r="AC140" s="154" t="s">
        <v>112</v>
      </c>
      <c r="AD140" s="154"/>
      <c r="AE140" s="150" t="s">
        <v>698</v>
      </c>
      <c r="AF140" s="150" t="s">
        <v>124</v>
      </c>
      <c r="AG140" s="154">
        <v>1486080</v>
      </c>
    </row>
    <row r="141" spans="3:33">
      <c r="C141" s="150"/>
      <c r="D141" s="193" t="e">
        <f ca="1">[3]!terbilang(D140)</f>
        <v>#NAME?</v>
      </c>
      <c r="E141" s="193" t="e">
        <f ca="1">[3]!terbilang(E140)</f>
        <v>#NAME?</v>
      </c>
      <c r="F141" s="193" t="e">
        <f ca="1">[3]!terbilang(F140)</f>
        <v>#NAME?</v>
      </c>
      <c r="G141" s="193" t="e">
        <f ca="1">[3]!terbilang(G140)</f>
        <v>#NAME?</v>
      </c>
      <c r="H141" s="154"/>
      <c r="I141" s="154"/>
      <c r="J141" s="218">
        <f>I129-I140</f>
        <v>62551239</v>
      </c>
      <c r="P141" s="154">
        <v>5950000</v>
      </c>
      <c r="Q141" s="154">
        <v>77298480</v>
      </c>
      <c r="R141" s="154">
        <v>29688409</v>
      </c>
      <c r="S141" s="154">
        <v>1678000</v>
      </c>
      <c r="T141" s="154"/>
      <c r="Y141" s="154"/>
      <c r="Z141" s="154"/>
      <c r="AA141" s="154"/>
      <c r="AB141" s="154"/>
      <c r="AC141" s="154"/>
      <c r="AD141" s="154" t="s">
        <v>111</v>
      </c>
      <c r="AG141" s="154"/>
    </row>
    <row r="142" spans="3:33">
      <c r="C142" s="150"/>
      <c r="D142" s="154"/>
      <c r="E142" s="154"/>
      <c r="F142" s="154"/>
      <c r="G142" s="154"/>
      <c r="H142" s="154"/>
      <c r="I142" s="154"/>
      <c r="P142" s="154" t="e">
        <f ca="1">[3]!terbilang(P141)</f>
        <v>#NAME?</v>
      </c>
      <c r="Q142" s="154" t="e">
        <f ca="1">[3]!terbilang(Q141)</f>
        <v>#NAME?</v>
      </c>
      <c r="R142" s="154" t="e">
        <f ca="1">[3]!terbilang(R141)</f>
        <v>#NAME?</v>
      </c>
      <c r="S142" s="154" t="e">
        <f ca="1">[3]!terbilang(S141)</f>
        <v>#NAME?</v>
      </c>
      <c r="T142" s="154"/>
      <c r="U142" s="150" t="s">
        <v>111</v>
      </c>
      <c r="Y142" s="154"/>
      <c r="Z142" s="154"/>
      <c r="AA142" s="154"/>
      <c r="AB142" s="154"/>
      <c r="AC142" s="154"/>
      <c r="AD142" s="154"/>
      <c r="AG142" s="154"/>
    </row>
    <row r="143" spans="3:33">
      <c r="C143" s="150"/>
      <c r="D143" s="154"/>
      <c r="E143" s="154"/>
      <c r="F143" s="154"/>
      <c r="G143" s="154"/>
      <c r="H143" s="154"/>
      <c r="I143" s="154"/>
      <c r="J143" s="193"/>
      <c r="P143" s="154"/>
      <c r="Q143" s="154">
        <v>3689932926</v>
      </c>
      <c r="R143" s="154"/>
      <c r="S143" s="154"/>
      <c r="T143" s="154"/>
      <c r="Y143" s="154"/>
      <c r="Z143" s="154"/>
      <c r="AA143" s="154"/>
      <c r="AB143" s="154"/>
      <c r="AC143" s="154"/>
      <c r="AD143" s="154"/>
    </row>
    <row r="144" spans="3:33">
      <c r="C144" s="150"/>
      <c r="D144" s="193"/>
      <c r="E144" s="193"/>
      <c r="F144" s="193"/>
      <c r="G144" s="193"/>
      <c r="H144" s="154"/>
      <c r="I144" s="154"/>
      <c r="J144" s="193">
        <v>242104606</v>
      </c>
      <c r="L144" s="150" t="s">
        <v>711</v>
      </c>
      <c r="M144" s="150" t="s">
        <v>712</v>
      </c>
      <c r="P144" s="154">
        <v>4424000</v>
      </c>
      <c r="Q144" s="154">
        <v>4424000</v>
      </c>
      <c r="R144" s="154" t="e">
        <f ca="1">[3]!terbilang(R143)</f>
        <v>#NAME?</v>
      </c>
      <c r="S144" s="154" t="e">
        <f ca="1">[3]!terbilang(S143)</f>
        <v>#NAME?</v>
      </c>
      <c r="T144" s="154" t="s">
        <v>678</v>
      </c>
      <c r="Y144" s="154"/>
      <c r="Z144" s="154"/>
      <c r="AA144" s="154"/>
      <c r="AB144" s="154"/>
      <c r="AC144" s="154"/>
      <c r="AD144" s="154"/>
    </row>
    <row r="145" spans="2:31">
      <c r="C145" s="150"/>
      <c r="D145" s="154"/>
      <c r="E145" s="154"/>
      <c r="F145" s="154"/>
      <c r="G145" s="154"/>
      <c r="H145" s="154"/>
      <c r="J145" s="154">
        <v>49062122</v>
      </c>
      <c r="K145" s="150"/>
      <c r="P145" s="154">
        <v>4424000</v>
      </c>
      <c r="Q145" s="154">
        <v>11751036</v>
      </c>
      <c r="R145" s="154">
        <v>3015600</v>
      </c>
      <c r="S145" s="154">
        <v>600739</v>
      </c>
      <c r="T145" s="154"/>
      <c r="Y145" s="154"/>
      <c r="Z145" s="154"/>
      <c r="AA145" s="154"/>
      <c r="AB145" s="154"/>
      <c r="AC145" s="154"/>
      <c r="AD145" s="154">
        <v>1870843551</v>
      </c>
      <c r="AE145" s="154"/>
    </row>
    <row r="146" spans="2:31">
      <c r="C146" s="150"/>
      <c r="D146" s="193"/>
      <c r="E146" s="193"/>
      <c r="F146" s="193"/>
      <c r="G146" s="193"/>
      <c r="J146" s="154">
        <v>47292120</v>
      </c>
      <c r="K146" s="150"/>
      <c r="P146" s="154" t="e">
        <f ca="1">[3]!terbilang(P145)</f>
        <v>#NAME?</v>
      </c>
      <c r="Q146" s="154" t="e">
        <f ca="1">[3]!terbilang(Q145)</f>
        <v>#NAME?</v>
      </c>
      <c r="R146" s="154" t="e">
        <f ca="1">[3]!terbilang(R145)</f>
        <v>#NAME?</v>
      </c>
      <c r="S146" s="154" t="e">
        <f ca="1">[3]!terbilang(S145)</f>
        <v>#NAME?</v>
      </c>
      <c r="T146" s="154"/>
      <c r="Y146" s="154"/>
      <c r="Z146" s="154"/>
      <c r="AA146" s="154"/>
      <c r="AB146" s="154"/>
      <c r="AC146" s="154"/>
      <c r="AD146" s="154" t="e">
        <f ca="1">[3]!terbilang(AD145)</f>
        <v>#NAME?</v>
      </c>
      <c r="AE146" s="154"/>
    </row>
    <row r="147" spans="2:31">
      <c r="C147" s="150"/>
      <c r="D147" s="154"/>
      <c r="E147" s="154"/>
      <c r="F147" s="154"/>
      <c r="G147" s="154"/>
      <c r="H147" s="154"/>
      <c r="J147" s="154">
        <v>101877980</v>
      </c>
      <c r="K147" s="150"/>
      <c r="N147" s="150" t="s">
        <v>111</v>
      </c>
      <c r="P147" s="154">
        <v>1030905</v>
      </c>
      <c r="Q147" s="154">
        <v>756000</v>
      </c>
      <c r="R147" s="154">
        <v>42212300</v>
      </c>
      <c r="S147" s="154">
        <v>9467700</v>
      </c>
      <c r="T147" s="154"/>
      <c r="Y147" s="154"/>
      <c r="Z147" s="154"/>
      <c r="AA147" s="154"/>
      <c r="AB147" s="154"/>
      <c r="AC147" s="154"/>
      <c r="AD147" s="154"/>
      <c r="AE147" s="154"/>
    </row>
    <row r="148" spans="2:31">
      <c r="C148" s="150"/>
      <c r="D148" s="193"/>
      <c r="E148" s="193" t="s">
        <v>111</v>
      </c>
      <c r="F148" s="193"/>
      <c r="G148" s="193"/>
      <c r="H148" s="193"/>
      <c r="J148" s="154">
        <v>41198822</v>
      </c>
      <c r="K148" s="150"/>
      <c r="P148" s="154" t="e">
        <f ca="1">[3]!terbilang(P147)</f>
        <v>#NAME?</v>
      </c>
      <c r="Q148" s="154" t="e">
        <f ca="1">[3]!terbilang(Q147)</f>
        <v>#NAME?</v>
      </c>
      <c r="R148" s="154" t="e">
        <f ca="1">[3]!terbilang(R147)</f>
        <v>#NAME?</v>
      </c>
      <c r="S148" s="154" t="e">
        <f ca="1">[3]!terbilang(S147)</f>
        <v>#NAME?</v>
      </c>
      <c r="Y148" s="154"/>
      <c r="Z148" s="154"/>
      <c r="AA148" s="154"/>
      <c r="AB148" s="154"/>
      <c r="AC148" s="154"/>
      <c r="AD148" s="154" t="e">
        <f ca="1">[3]!terbilang(AD147)</f>
        <v>#NAME?</v>
      </c>
      <c r="AE148" s="154"/>
    </row>
    <row r="149" spans="2:31">
      <c r="D149" s="193"/>
      <c r="E149" s="154"/>
      <c r="F149" s="154"/>
      <c r="G149" s="154"/>
      <c r="J149" s="154">
        <v>12969890</v>
      </c>
      <c r="K149" s="150"/>
      <c r="P149" s="154"/>
      <c r="R149" s="154"/>
      <c r="AD149" s="154"/>
      <c r="AE149" s="154"/>
    </row>
    <row r="150" spans="2:31">
      <c r="D150" s="193"/>
      <c r="E150" s="154"/>
      <c r="F150" s="154"/>
      <c r="G150" s="154"/>
      <c r="J150" s="154">
        <v>30314078</v>
      </c>
      <c r="K150" s="150"/>
      <c r="P150" s="154"/>
      <c r="R150" s="154"/>
    </row>
    <row r="151" spans="2:31">
      <c r="B151" s="150" t="s">
        <v>666</v>
      </c>
      <c r="C151" s="150"/>
      <c r="D151" s="154"/>
      <c r="E151" s="154"/>
      <c r="F151" s="154"/>
      <c r="G151" s="154"/>
      <c r="J151" s="154"/>
      <c r="K151" s="150"/>
      <c r="P151" s="154"/>
      <c r="Q151" s="154">
        <v>2722753720</v>
      </c>
      <c r="R151" s="154"/>
      <c r="S151" s="154"/>
      <c r="X151" s="154"/>
      <c r="AA151" s="154"/>
      <c r="AB151" s="154"/>
      <c r="AC151" s="154"/>
    </row>
    <row r="152" spans="2:31">
      <c r="C152" s="150"/>
      <c r="D152" s="154"/>
      <c r="E152" s="154"/>
      <c r="F152" s="154"/>
      <c r="G152" s="154"/>
      <c r="J152" s="154">
        <f>SUM(J144:J151)</f>
        <v>524819618</v>
      </c>
      <c r="K152" s="150"/>
      <c r="P152" s="154"/>
      <c r="Q152" s="154"/>
      <c r="R152" s="154"/>
      <c r="S152" s="154"/>
      <c r="X152" s="154"/>
      <c r="AA152" s="154"/>
      <c r="AB152" s="154"/>
      <c r="AC152" s="154"/>
    </row>
    <row r="153" spans="2:31">
      <c r="B153" s="150" t="s">
        <v>667</v>
      </c>
      <c r="C153" s="150"/>
      <c r="D153" s="150"/>
      <c r="J153" s="154"/>
      <c r="K153" s="150"/>
      <c r="P153" s="154"/>
      <c r="Q153" s="154"/>
      <c r="R153" s="154">
        <v>877014107</v>
      </c>
      <c r="S153" s="154"/>
      <c r="T153" s="150" t="s">
        <v>111</v>
      </c>
      <c r="X153" s="154"/>
      <c r="AA153" s="154"/>
      <c r="AB153" s="154"/>
      <c r="AC153" s="154"/>
    </row>
    <row r="154" spans="2:31">
      <c r="C154" s="150"/>
      <c r="D154" s="154"/>
      <c r="E154" s="154"/>
      <c r="F154" s="154"/>
      <c r="G154" s="154"/>
      <c r="J154" s="193"/>
      <c r="P154" s="154"/>
      <c r="Q154" s="154"/>
      <c r="R154" s="154">
        <v>3605000</v>
      </c>
      <c r="S154" s="154"/>
      <c r="X154" s="154"/>
      <c r="AA154" s="154"/>
      <c r="AB154" s="154"/>
      <c r="AC154" s="154"/>
    </row>
    <row r="155" spans="2:31">
      <c r="C155" s="150"/>
      <c r="D155" s="193"/>
      <c r="E155" s="193"/>
      <c r="F155" s="193"/>
      <c r="G155" s="193"/>
      <c r="P155" s="154"/>
      <c r="Q155" s="154"/>
      <c r="R155" s="154">
        <v>2550000</v>
      </c>
      <c r="S155" s="154"/>
      <c r="W155" s="154"/>
      <c r="X155" s="154"/>
      <c r="AA155" s="154"/>
      <c r="AB155" s="154"/>
      <c r="AC155" s="154"/>
    </row>
    <row r="156" spans="2:31">
      <c r="C156" s="150"/>
      <c r="D156" s="150"/>
      <c r="J156" s="150"/>
      <c r="K156" s="150"/>
      <c r="P156" s="154"/>
      <c r="Q156" s="154"/>
      <c r="R156" s="154">
        <v>10000000</v>
      </c>
      <c r="S156" s="154"/>
      <c r="X156" s="154"/>
      <c r="AA156" s="154"/>
      <c r="AB156" s="154"/>
      <c r="AC156" s="154"/>
    </row>
    <row r="157" spans="2:31">
      <c r="C157" s="150"/>
      <c r="D157" s="150"/>
      <c r="J157" s="150"/>
      <c r="K157" s="150"/>
      <c r="P157" s="154"/>
      <c r="Q157" s="154"/>
      <c r="R157" s="154">
        <v>1320000</v>
      </c>
      <c r="S157" s="154"/>
      <c r="T157" s="150" t="s">
        <v>112</v>
      </c>
      <c r="X157" s="154"/>
      <c r="AA157" s="154"/>
      <c r="AB157" s="154"/>
      <c r="AC157" s="154"/>
    </row>
    <row r="158" spans="2:31">
      <c r="C158" s="150"/>
      <c r="D158" s="150"/>
      <c r="E158" s="245">
        <f>C158+D158</f>
        <v>0</v>
      </c>
      <c r="F158" s="241">
        <v>151858375</v>
      </c>
      <c r="I158" s="150" t="s">
        <v>111</v>
      </c>
      <c r="J158" s="150"/>
      <c r="K158" s="150"/>
      <c r="P158" s="154"/>
      <c r="Q158" s="154"/>
      <c r="R158" s="154">
        <v>1013543</v>
      </c>
      <c r="S158" s="154"/>
      <c r="X158" s="154"/>
      <c r="AA158" s="154"/>
      <c r="AB158" s="154"/>
      <c r="AC158" s="154"/>
    </row>
    <row r="159" spans="2:31">
      <c r="C159" s="150"/>
      <c r="D159" s="150"/>
      <c r="E159" s="245">
        <f t="shared" ref="E159:E180" si="4">C159+D159</f>
        <v>0</v>
      </c>
      <c r="F159" s="241">
        <v>151858375</v>
      </c>
      <c r="J159" s="150"/>
      <c r="K159" s="150"/>
      <c r="P159" s="154"/>
      <c r="Q159" s="154"/>
      <c r="R159" s="154">
        <v>1042324</v>
      </c>
      <c r="S159" s="154"/>
      <c r="T159" s="150" t="s">
        <v>108</v>
      </c>
      <c r="U159" s="150" t="s">
        <v>111</v>
      </c>
      <c r="X159" s="154"/>
      <c r="AA159" s="154"/>
      <c r="AB159" s="154"/>
      <c r="AC159" s="154"/>
    </row>
    <row r="160" spans="2:31">
      <c r="C160" s="150"/>
      <c r="D160" s="150"/>
      <c r="E160" s="245">
        <f t="shared" si="4"/>
        <v>0</v>
      </c>
      <c r="F160" s="241">
        <v>15635402</v>
      </c>
      <c r="J160" s="150"/>
      <c r="K160" s="150"/>
      <c r="Q160" s="154"/>
      <c r="R160" s="154">
        <v>356740</v>
      </c>
      <c r="S160" s="154"/>
      <c r="X160" s="154"/>
      <c r="AA160" s="154"/>
      <c r="AB160" s="154"/>
      <c r="AC160" s="154"/>
    </row>
    <row r="161" spans="3:29">
      <c r="C161" s="150"/>
      <c r="D161" s="150"/>
      <c r="E161" s="245"/>
      <c r="F161" s="241"/>
      <c r="J161" s="150"/>
      <c r="K161" s="175" t="s">
        <v>675</v>
      </c>
      <c r="L161" s="175">
        <v>78301201</v>
      </c>
      <c r="M161" s="175" t="s">
        <v>677</v>
      </c>
      <c r="N161" s="175">
        <v>10775039</v>
      </c>
      <c r="Q161" s="154"/>
      <c r="R161" s="154">
        <f>1444898479+10476291</f>
        <v>1455374770</v>
      </c>
      <c r="S161" s="154"/>
      <c r="X161" s="154"/>
      <c r="AA161" s="154"/>
      <c r="AB161" s="154"/>
      <c r="AC161" s="154"/>
    </row>
    <row r="162" spans="3:29">
      <c r="C162" s="150"/>
      <c r="D162" s="150"/>
      <c r="E162" s="245">
        <f t="shared" si="4"/>
        <v>0</v>
      </c>
      <c r="F162" s="241">
        <v>417819202</v>
      </c>
      <c r="J162" s="150"/>
      <c r="K162" s="175" t="s">
        <v>676</v>
      </c>
      <c r="L162" s="175">
        <v>16408200</v>
      </c>
      <c r="M162" s="175">
        <v>231</v>
      </c>
      <c r="N162" s="175">
        <v>5696639</v>
      </c>
      <c r="Q162" s="154"/>
      <c r="R162" s="154">
        <v>142000000</v>
      </c>
      <c r="S162" s="154"/>
      <c r="X162" s="154"/>
      <c r="AA162" s="154"/>
      <c r="AB162" s="154"/>
      <c r="AC162" s="154"/>
    </row>
    <row r="163" spans="3:29">
      <c r="C163" s="150"/>
      <c r="D163" s="150"/>
      <c r="E163" s="245"/>
      <c r="F163" s="241"/>
      <c r="J163" s="150"/>
      <c r="K163" s="175"/>
      <c r="L163" s="175"/>
      <c r="M163" s="175">
        <v>232</v>
      </c>
      <c r="N163" s="175">
        <v>13247999</v>
      </c>
      <c r="Q163" s="154"/>
      <c r="R163" s="154">
        <v>130000000</v>
      </c>
      <c r="S163" s="154"/>
      <c r="X163" s="154"/>
      <c r="AA163" s="154"/>
      <c r="AB163" s="154"/>
      <c r="AC163" s="154"/>
    </row>
    <row r="164" spans="3:29">
      <c r="C164" s="150"/>
      <c r="D164" s="150"/>
      <c r="E164" s="245"/>
      <c r="F164" s="241"/>
      <c r="J164" s="150"/>
      <c r="K164" s="150"/>
      <c r="Q164" s="154"/>
      <c r="R164" s="154"/>
      <c r="S164" s="154"/>
      <c r="X164" s="154"/>
      <c r="AA164" s="154"/>
      <c r="AB164" s="154"/>
      <c r="AC164" s="154"/>
    </row>
    <row r="165" spans="3:29">
      <c r="C165" s="150"/>
      <c r="D165" s="150"/>
      <c r="E165" s="245"/>
      <c r="F165" s="241"/>
      <c r="J165" s="150"/>
      <c r="K165" s="150"/>
      <c r="Q165" s="154"/>
      <c r="R165" s="154"/>
      <c r="S165" s="154"/>
      <c r="X165" s="154"/>
      <c r="AA165" s="154"/>
      <c r="AB165" s="154"/>
      <c r="AC165" s="154"/>
    </row>
    <row r="166" spans="3:29">
      <c r="E166" s="245">
        <f t="shared" si="4"/>
        <v>0</v>
      </c>
      <c r="F166" s="241">
        <v>8266215</v>
      </c>
      <c r="J166" s="150"/>
      <c r="K166" s="150"/>
      <c r="Q166" s="154"/>
      <c r="R166" s="154">
        <f>SUM(R153:R163)</f>
        <v>2624276484</v>
      </c>
      <c r="S166" s="154"/>
    </row>
    <row r="167" spans="3:29">
      <c r="E167" s="245">
        <f t="shared" si="4"/>
        <v>0</v>
      </c>
      <c r="F167" s="241">
        <v>8266215</v>
      </c>
      <c r="J167" s="150"/>
      <c r="K167" s="150"/>
      <c r="Q167" s="154"/>
      <c r="R167" s="154"/>
      <c r="S167" s="154"/>
    </row>
    <row r="168" spans="3:29">
      <c r="E168" s="245">
        <f t="shared" si="4"/>
        <v>0</v>
      </c>
      <c r="F168" s="242">
        <v>42795328</v>
      </c>
      <c r="J168" s="150"/>
      <c r="K168" s="150"/>
      <c r="Q168" s="154">
        <f>Q151-R166</f>
        <v>98477236</v>
      </c>
      <c r="R168" s="154"/>
      <c r="S168" s="154"/>
    </row>
    <row r="169" spans="3:29">
      <c r="C169" s="150"/>
      <c r="D169" s="150"/>
      <c r="E169" s="245">
        <f t="shared" si="4"/>
        <v>0</v>
      </c>
      <c r="F169" s="241">
        <v>26265232</v>
      </c>
      <c r="J169" s="150"/>
      <c r="K169" s="150"/>
      <c r="Q169" s="154"/>
      <c r="R169" s="154"/>
      <c r="S169" s="154" t="s">
        <v>731</v>
      </c>
      <c r="T169" s="150" t="s">
        <v>732</v>
      </c>
    </row>
    <row r="170" spans="3:29">
      <c r="C170" s="150"/>
      <c r="D170" s="150"/>
      <c r="E170" s="245">
        <f t="shared" si="4"/>
        <v>0</v>
      </c>
      <c r="F170" s="242">
        <v>26265232</v>
      </c>
      <c r="I170" s="150" t="s">
        <v>112</v>
      </c>
      <c r="Q170" s="154"/>
      <c r="R170" s="154"/>
      <c r="S170" s="154" t="s">
        <v>733</v>
      </c>
      <c r="T170" s="150">
        <v>222222</v>
      </c>
    </row>
    <row r="171" spans="3:29">
      <c r="C171" s="150"/>
      <c r="D171" s="150"/>
      <c r="E171" s="245">
        <f t="shared" si="4"/>
        <v>0</v>
      </c>
      <c r="F171" s="242">
        <v>199624868</v>
      </c>
      <c r="Q171" s="154"/>
      <c r="R171" s="154"/>
      <c r="S171" s="154"/>
    </row>
    <row r="172" spans="3:29">
      <c r="C172" s="150"/>
      <c r="D172" s="150"/>
      <c r="E172" s="245">
        <f t="shared" si="4"/>
        <v>0</v>
      </c>
      <c r="F172" s="241">
        <v>19684245</v>
      </c>
    </row>
    <row r="173" spans="3:29">
      <c r="C173" s="150"/>
      <c r="D173" s="150"/>
      <c r="E173" s="245">
        <f t="shared" si="4"/>
        <v>0</v>
      </c>
      <c r="F173" s="241">
        <v>77905425</v>
      </c>
      <c r="J173" s="150"/>
      <c r="K173" s="150"/>
    </row>
    <row r="174" spans="3:29">
      <c r="C174" s="150"/>
      <c r="D174" s="150"/>
      <c r="E174" s="245">
        <f t="shared" si="4"/>
        <v>0</v>
      </c>
      <c r="F174" s="241">
        <v>4441476</v>
      </c>
      <c r="J174" s="150"/>
      <c r="K174" s="150"/>
    </row>
    <row r="175" spans="3:29">
      <c r="C175" s="150"/>
      <c r="D175" s="150"/>
      <c r="E175" s="245">
        <f t="shared" si="4"/>
        <v>0</v>
      </c>
      <c r="F175" s="241">
        <v>4266433</v>
      </c>
      <c r="J175" s="150"/>
      <c r="K175" s="150"/>
    </row>
    <row r="176" spans="3:29">
      <c r="C176" s="150"/>
      <c r="D176" s="150"/>
      <c r="E176" s="245">
        <f t="shared" si="4"/>
        <v>0</v>
      </c>
      <c r="F176" s="241">
        <v>852429</v>
      </c>
      <c r="J176" s="150"/>
      <c r="K176" s="150"/>
    </row>
    <row r="177" spans="3:11">
      <c r="C177" s="150"/>
      <c r="D177" s="150"/>
      <c r="E177" s="245">
        <f t="shared" si="4"/>
        <v>0</v>
      </c>
      <c r="F177" s="241">
        <v>852429</v>
      </c>
      <c r="H177" s="154"/>
      <c r="J177" s="150"/>
      <c r="K177" s="150"/>
    </row>
    <row r="178" spans="3:11">
      <c r="C178" s="150"/>
      <c r="D178" s="150"/>
      <c r="E178" s="245">
        <f t="shared" si="4"/>
        <v>0</v>
      </c>
      <c r="F178" s="242">
        <v>112121856</v>
      </c>
      <c r="H178" s="154"/>
      <c r="J178" s="150"/>
      <c r="K178" s="150"/>
    </row>
    <row r="179" spans="3:11">
      <c r="C179" s="150"/>
      <c r="D179" s="150"/>
      <c r="E179" s="245">
        <f t="shared" si="4"/>
        <v>0</v>
      </c>
      <c r="F179" s="241">
        <v>95897725</v>
      </c>
      <c r="H179" s="154"/>
      <c r="J179" s="150"/>
      <c r="K179" s="150"/>
    </row>
    <row r="180" spans="3:11">
      <c r="C180" s="150"/>
      <c r="D180" s="150"/>
      <c r="E180" s="245">
        <f t="shared" si="4"/>
        <v>0</v>
      </c>
      <c r="F180" s="242">
        <v>611033945</v>
      </c>
      <c r="H180" s="154"/>
      <c r="J180" s="150"/>
      <c r="K180" s="150"/>
    </row>
    <row r="181" spans="3:11">
      <c r="C181" s="150"/>
      <c r="D181" s="150"/>
      <c r="F181" s="243"/>
      <c r="H181" s="154"/>
      <c r="J181" s="150"/>
      <c r="K181" s="150"/>
    </row>
    <row r="182" spans="3:11">
      <c r="H182" s="193" t="e">
        <f ca="1">[3]!terbilang(H181)</f>
        <v>#NAME?</v>
      </c>
      <c r="J182" s="150"/>
      <c r="K182" s="150"/>
    </row>
    <row r="183" spans="3:11">
      <c r="D183" s="193">
        <v>97846397</v>
      </c>
      <c r="E183" s="154">
        <v>2865371212</v>
      </c>
      <c r="F183" s="154">
        <v>89668307</v>
      </c>
      <c r="G183" s="154">
        <v>140646841</v>
      </c>
      <c r="H183" s="154"/>
      <c r="J183" s="150"/>
      <c r="K183" s="150"/>
    </row>
    <row r="184" spans="3:11">
      <c r="D184" s="193"/>
      <c r="E184" s="154"/>
      <c r="F184" s="154"/>
      <c r="G184" s="154"/>
      <c r="H184" s="154"/>
      <c r="J184" s="150"/>
      <c r="K184" s="150"/>
    </row>
    <row r="185" spans="3:11">
      <c r="D185" s="182" t="e">
        <f ca="1">[3]!terbilang(D183)</f>
        <v>#NAME?</v>
      </c>
      <c r="E185" s="193" t="e">
        <f ca="1">[3]!terbilang(E183)</f>
        <v>#NAME?</v>
      </c>
      <c r="F185" s="193" t="e">
        <f ca="1">[3]!terbilang(F183)</f>
        <v>#NAME?</v>
      </c>
      <c r="G185" s="193" t="e">
        <f ca="1">[3]!terbilang(G183)</f>
        <v>#NAME?</v>
      </c>
      <c r="H185" s="154"/>
      <c r="J185" s="150"/>
      <c r="K185" s="150"/>
    </row>
    <row r="186" spans="3:11">
      <c r="C186" s="150"/>
      <c r="D186" s="193"/>
      <c r="E186" s="154"/>
      <c r="F186" s="154"/>
      <c r="G186" s="154"/>
      <c r="H186" s="154"/>
      <c r="J186" s="150"/>
      <c r="K186" s="150"/>
    </row>
    <row r="187" spans="3:11">
      <c r="C187" s="150"/>
      <c r="D187" s="193">
        <v>14952300</v>
      </c>
      <c r="E187" s="154">
        <v>25686590</v>
      </c>
      <c r="F187" s="154">
        <v>12165006</v>
      </c>
      <c r="G187" s="154">
        <v>33728185</v>
      </c>
      <c r="H187" s="154"/>
      <c r="J187" s="150"/>
      <c r="K187" s="150"/>
    </row>
    <row r="188" spans="3:11">
      <c r="C188" s="150"/>
      <c r="D188" s="193" t="e">
        <f ca="1">[3]!terbilang(D187)</f>
        <v>#NAME?</v>
      </c>
      <c r="E188" s="193" t="e">
        <f ca="1">[3]!terbilang(E187)</f>
        <v>#NAME?</v>
      </c>
      <c r="F188" s="193" t="e">
        <f ca="1">[3]!terbilang(F187)</f>
        <v>#NAME?</v>
      </c>
      <c r="G188" s="193" t="e">
        <f ca="1">[3]!terbilang(G187)</f>
        <v>#NAME?</v>
      </c>
      <c r="H188" s="154"/>
      <c r="J188" s="150"/>
      <c r="K188" s="150"/>
    </row>
    <row r="189" spans="3:11">
      <c r="C189" s="150"/>
      <c r="D189" s="193"/>
      <c r="E189" s="193"/>
      <c r="F189" s="193"/>
      <c r="G189" s="193"/>
      <c r="H189" s="193" t="e">
        <f ca="1">[3]!terbilang(H187)</f>
        <v>#NAME?</v>
      </c>
      <c r="J189" s="150"/>
      <c r="K189" s="150"/>
    </row>
    <row r="190" spans="3:11">
      <c r="C190" s="150"/>
      <c r="D190" s="193">
        <v>48422213</v>
      </c>
      <c r="E190" s="154">
        <v>36753941</v>
      </c>
      <c r="F190" s="154">
        <v>31079686</v>
      </c>
      <c r="G190" s="154">
        <v>20004300</v>
      </c>
      <c r="H190" s="154"/>
      <c r="J190" s="150"/>
      <c r="K190" s="150"/>
    </row>
    <row r="191" spans="3:11">
      <c r="C191" s="150"/>
      <c r="D191" s="193"/>
      <c r="E191" s="154"/>
      <c r="F191" s="154"/>
      <c r="G191" s="154"/>
      <c r="H191" s="154"/>
      <c r="J191" s="150"/>
      <c r="K191" s="150"/>
    </row>
    <row r="192" spans="3:11">
      <c r="C192" s="150"/>
      <c r="D192" s="193" t="e">
        <f ca="1">[3]!terbilang(D190)</f>
        <v>#NAME?</v>
      </c>
      <c r="E192" s="193" t="e">
        <f ca="1">[3]!terbilang(E190)</f>
        <v>#NAME?</v>
      </c>
      <c r="F192" s="193" t="e">
        <f ca="1">[3]!terbilang(F190)</f>
        <v>#NAME?</v>
      </c>
      <c r="G192" s="193" t="e">
        <f ca="1">[3]!terbilang(G190)</f>
        <v>#NAME?</v>
      </c>
      <c r="H192" s="154"/>
      <c r="J192" s="150"/>
      <c r="K192" s="150"/>
    </row>
    <row r="193" spans="3:11">
      <c r="C193" s="150"/>
      <c r="D193" s="193">
        <v>59307925</v>
      </c>
      <c r="E193" s="154">
        <v>91714882</v>
      </c>
      <c r="F193" s="154">
        <v>50376375</v>
      </c>
      <c r="G193" s="154">
        <v>48653224</v>
      </c>
      <c r="H193" s="154"/>
      <c r="J193" s="150"/>
      <c r="K193" s="150"/>
    </row>
    <row r="194" spans="3:11">
      <c r="C194" s="150"/>
      <c r="D194" s="193"/>
      <c r="E194" s="154"/>
      <c r="F194" s="154"/>
      <c r="G194" s="154"/>
      <c r="H194" s="154"/>
      <c r="J194" s="150"/>
      <c r="K194" s="150"/>
    </row>
    <row r="195" spans="3:11">
      <c r="C195" s="150"/>
      <c r="D195" s="193" t="e">
        <f ca="1">[3]!terbilang(D193)</f>
        <v>#NAME?</v>
      </c>
      <c r="E195" s="193" t="e">
        <f ca="1">[3]!terbilang(E193)</f>
        <v>#NAME?</v>
      </c>
      <c r="F195" s="193" t="e">
        <f ca="1">[3]!terbilang(F193)</f>
        <v>#NAME?</v>
      </c>
      <c r="G195" s="193" t="e">
        <f ca="1">[3]!terbilang(G193)</f>
        <v>#NAME?</v>
      </c>
      <c r="J195" s="150"/>
      <c r="K195" s="150"/>
    </row>
    <row r="196" spans="3:11">
      <c r="C196" s="150"/>
      <c r="D196" s="193"/>
      <c r="E196" s="154"/>
      <c r="F196" s="154"/>
      <c r="G196" s="154"/>
      <c r="J196" s="150"/>
      <c r="K196" s="150"/>
    </row>
    <row r="197" spans="3:11">
      <c r="C197" s="150"/>
      <c r="D197" s="193"/>
      <c r="E197" s="154"/>
      <c r="F197" s="154"/>
      <c r="G197" s="154"/>
      <c r="J197" s="150"/>
      <c r="K197" s="150"/>
    </row>
    <row r="198" spans="3:11">
      <c r="C198" s="150"/>
      <c r="D198" s="193"/>
      <c r="E198" s="154"/>
      <c r="F198" s="154"/>
      <c r="G198" s="154"/>
      <c r="J198" s="150"/>
      <c r="K198" s="150"/>
    </row>
    <row r="199" spans="3:11">
      <c r="C199" s="150"/>
      <c r="D199" s="193"/>
      <c r="E199" s="154"/>
      <c r="F199" s="154"/>
      <c r="G199" s="154"/>
      <c r="J199" s="150"/>
      <c r="K199" s="150"/>
    </row>
    <row r="200" spans="3:11">
      <c r="C200" s="150"/>
      <c r="D200" s="193"/>
      <c r="E200" s="154" t="s">
        <v>108</v>
      </c>
      <c r="F200" s="154"/>
      <c r="G200" s="154"/>
      <c r="J200" s="150"/>
      <c r="K200" s="150"/>
    </row>
    <row r="202" spans="3:11">
      <c r="C202" s="150"/>
      <c r="D202" s="182" t="s">
        <v>112</v>
      </c>
      <c r="J202" s="150"/>
      <c r="K202" s="150"/>
    </row>
    <row r="203" spans="3:11">
      <c r="C203" s="150"/>
      <c r="E203" s="150" t="s">
        <v>111</v>
      </c>
      <c r="J203" s="150"/>
      <c r="K203" s="150"/>
    </row>
  </sheetData>
  <mergeCells count="16">
    <mergeCell ref="L114:N114"/>
    <mergeCell ref="P114:R114"/>
    <mergeCell ref="S114:U114"/>
    <mergeCell ref="C4:AG4"/>
    <mergeCell ref="A84:B84"/>
    <mergeCell ref="AD91:AF91"/>
    <mergeCell ref="F93:G93"/>
    <mergeCell ref="H93:I93"/>
    <mergeCell ref="J93:K93"/>
    <mergeCell ref="L93:M93"/>
    <mergeCell ref="R93:T93"/>
    <mergeCell ref="F94:G94"/>
    <mergeCell ref="H94:I94"/>
    <mergeCell ref="J94:K94"/>
    <mergeCell ref="L94:M94"/>
    <mergeCell ref="R94:T94"/>
  </mergeCells>
  <pageMargins left="0.7" right="0.7" top="0.75" bottom="0.75" header="0.3" footer="0.3"/>
  <pageSetup paperSize="9" orientation="portrait" horizontalDpi="120" verticalDpi="72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05"/>
  <sheetViews>
    <sheetView workbookViewId="0">
      <selection sqref="A1:XFD1048576"/>
    </sheetView>
  </sheetViews>
  <sheetFormatPr defaultRowHeight="15.75"/>
  <cols>
    <col min="1" max="1" width="35.85546875" style="150" customWidth="1"/>
    <col min="2" max="2" width="14" style="150" customWidth="1"/>
    <col min="3" max="3" width="19.85546875" style="182" customWidth="1"/>
    <col min="4" max="4" width="0.42578125" style="182" customWidth="1"/>
    <col min="5" max="5" width="21.28515625" style="150" customWidth="1"/>
    <col min="6" max="6" width="22.5703125" style="150" customWidth="1"/>
    <col min="7" max="7" width="18.42578125" style="150" customWidth="1"/>
    <col min="8" max="8" width="22.140625" style="150" customWidth="1"/>
    <col min="9" max="9" width="21.42578125" style="150" customWidth="1"/>
    <col min="10" max="10" width="22.140625" style="182" customWidth="1"/>
    <col min="11" max="11" width="20.85546875" style="182" customWidth="1"/>
    <col min="12" max="12" width="20.28515625" style="150" customWidth="1"/>
    <col min="13" max="13" width="25.28515625" style="150" customWidth="1"/>
    <col min="14" max="14" width="19.42578125" style="150" customWidth="1"/>
    <col min="15" max="15" width="18.28515625" style="150" customWidth="1"/>
    <col min="16" max="16" width="24" style="150" customWidth="1"/>
    <col min="17" max="17" width="21.28515625" style="150" customWidth="1"/>
    <col min="18" max="18" width="23.28515625" style="150" customWidth="1"/>
    <col min="19" max="19" width="21.140625" style="150" customWidth="1"/>
    <col min="20" max="20" width="25.85546875" style="150" customWidth="1"/>
    <col min="21" max="21" width="19.5703125" style="150" customWidth="1"/>
    <col min="22" max="22" width="19.42578125" style="150" customWidth="1"/>
    <col min="23" max="23" width="22" style="150" customWidth="1"/>
    <col min="24" max="25" width="20.7109375" style="150" customWidth="1"/>
    <col min="26" max="26" width="22.42578125" style="150" customWidth="1"/>
    <col min="27" max="27" width="21.7109375" style="150" customWidth="1"/>
    <col min="28" max="28" width="20.28515625" style="150" customWidth="1"/>
    <col min="29" max="29" width="18.5703125" style="150" customWidth="1"/>
    <col min="30" max="30" width="18.85546875" style="150" customWidth="1"/>
    <col min="31" max="31" width="19.85546875" style="150" customWidth="1"/>
    <col min="32" max="32" width="19" style="150" customWidth="1"/>
    <col min="33" max="33" width="21.7109375" style="150" customWidth="1"/>
    <col min="34" max="34" width="25" style="150" customWidth="1"/>
    <col min="35" max="35" width="20.28515625" style="150" customWidth="1"/>
    <col min="36" max="36" width="28.42578125" style="150" customWidth="1"/>
    <col min="37" max="37" width="27.140625" style="150" customWidth="1"/>
    <col min="38" max="38" width="19.140625" style="150" customWidth="1"/>
    <col min="39" max="39" width="23.7109375" style="150" customWidth="1"/>
    <col min="40" max="40" width="24.85546875" style="150" customWidth="1"/>
    <col min="41" max="41" width="19.28515625" style="150" customWidth="1"/>
    <col min="42" max="16384" width="9.140625" style="150"/>
  </cols>
  <sheetData>
    <row r="1" spans="1:36">
      <c r="A1" s="147" t="s">
        <v>0</v>
      </c>
      <c r="B1" s="148"/>
      <c r="C1" s="149"/>
      <c r="D1" s="149"/>
      <c r="E1" s="148"/>
      <c r="F1" s="148"/>
      <c r="G1" s="148"/>
      <c r="H1" s="148"/>
      <c r="I1" s="148"/>
      <c r="J1" s="149"/>
      <c r="K1" s="149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</row>
    <row r="2" spans="1:36" s="154" customFormat="1">
      <c r="A2" s="151" t="s">
        <v>1</v>
      </c>
      <c r="B2" s="152"/>
      <c r="C2" s="153"/>
      <c r="D2" s="153"/>
      <c r="E2" s="152"/>
      <c r="F2" s="152"/>
      <c r="G2" s="152"/>
      <c r="H2" s="152"/>
      <c r="I2" s="152"/>
      <c r="J2" s="153"/>
      <c r="K2" s="153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</row>
    <row r="3" spans="1:36">
      <c r="A3" s="155" t="s">
        <v>2</v>
      </c>
      <c r="B3" s="156">
        <v>44774</v>
      </c>
      <c r="C3" s="153"/>
      <c r="D3" s="153"/>
      <c r="E3" s="152"/>
      <c r="F3" s="152"/>
      <c r="G3" s="152"/>
      <c r="H3" s="152"/>
      <c r="I3" s="152"/>
      <c r="J3" s="153"/>
      <c r="K3" s="153"/>
      <c r="L3" s="152"/>
      <c r="M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</row>
    <row r="4" spans="1:36">
      <c r="A4" s="157" t="s">
        <v>3</v>
      </c>
      <c r="B4" s="158" t="s">
        <v>4</v>
      </c>
      <c r="C4" s="390" t="s">
        <v>5</v>
      </c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2"/>
      <c r="AH4" s="338"/>
      <c r="AI4" s="159" t="s">
        <v>6</v>
      </c>
      <c r="AJ4" s="154"/>
    </row>
    <row r="5" spans="1:36">
      <c r="A5" s="157"/>
      <c r="B5" s="158"/>
      <c r="C5" s="160">
        <v>44805</v>
      </c>
      <c r="D5" s="160">
        <v>44806</v>
      </c>
      <c r="E5" s="160">
        <v>44807</v>
      </c>
      <c r="F5" s="160">
        <v>44808</v>
      </c>
      <c r="G5" s="160">
        <v>44809</v>
      </c>
      <c r="H5" s="160">
        <v>44810</v>
      </c>
      <c r="I5" s="160">
        <v>44811</v>
      </c>
      <c r="J5" s="160">
        <v>44812</v>
      </c>
      <c r="K5" s="160">
        <v>44813</v>
      </c>
      <c r="L5" s="160">
        <v>44814</v>
      </c>
      <c r="M5" s="160">
        <v>44815</v>
      </c>
      <c r="N5" s="160">
        <v>44816</v>
      </c>
      <c r="O5" s="160">
        <v>44817</v>
      </c>
      <c r="P5" s="160">
        <v>44818</v>
      </c>
      <c r="Q5" s="160">
        <v>44819</v>
      </c>
      <c r="R5" s="160">
        <v>44820</v>
      </c>
      <c r="S5" s="160">
        <v>44821</v>
      </c>
      <c r="T5" s="160">
        <v>44822</v>
      </c>
      <c r="U5" s="160">
        <v>44823</v>
      </c>
      <c r="V5" s="160">
        <v>44824</v>
      </c>
      <c r="W5" s="160">
        <v>44825</v>
      </c>
      <c r="X5" s="160">
        <v>44826</v>
      </c>
      <c r="Y5" s="160">
        <v>44827</v>
      </c>
      <c r="Z5" s="160">
        <v>44828</v>
      </c>
      <c r="AA5" s="160">
        <v>44829</v>
      </c>
      <c r="AB5" s="160">
        <v>44830</v>
      </c>
      <c r="AC5" s="160">
        <v>44831</v>
      </c>
      <c r="AD5" s="160">
        <v>44832</v>
      </c>
      <c r="AE5" s="160">
        <v>44833</v>
      </c>
      <c r="AF5" s="160">
        <v>44834</v>
      </c>
      <c r="AG5" s="160">
        <v>44835</v>
      </c>
      <c r="AH5" s="160"/>
      <c r="AI5" s="159"/>
      <c r="AJ5" s="154"/>
    </row>
    <row r="6" spans="1:36">
      <c r="A6" s="161" t="s">
        <v>7</v>
      </c>
      <c r="B6" s="162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8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3"/>
      <c r="AJ6" s="173"/>
    </row>
    <row r="7" spans="1:36">
      <c r="A7" s="258" t="s">
        <v>492</v>
      </c>
      <c r="B7" s="162"/>
      <c r="C7" s="273"/>
      <c r="D7" s="273"/>
      <c r="E7" s="273"/>
      <c r="F7" s="273"/>
      <c r="G7" s="273"/>
      <c r="H7" s="273"/>
      <c r="I7" s="273"/>
      <c r="J7" s="167"/>
      <c r="K7" s="167"/>
      <c r="L7" s="273"/>
      <c r="M7" s="273"/>
      <c r="N7" s="168">
        <f>641142216+452882664+306638654+470181348+238129632+80914205</f>
        <v>2189888719</v>
      </c>
      <c r="O7" s="273"/>
      <c r="P7" s="168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163"/>
      <c r="AJ7" s="173"/>
    </row>
    <row r="8" spans="1:36">
      <c r="A8" s="166" t="s">
        <v>480</v>
      </c>
      <c r="B8" s="191"/>
      <c r="C8" s="273"/>
      <c r="D8" s="273"/>
      <c r="E8" s="273"/>
      <c r="F8" s="273"/>
      <c r="G8" s="273"/>
      <c r="H8" s="273"/>
      <c r="I8" s="171">
        <v>147665754</v>
      </c>
      <c r="J8" s="273"/>
      <c r="K8" s="273"/>
      <c r="L8" s="171"/>
      <c r="M8" s="273"/>
      <c r="N8" s="273"/>
      <c r="O8" s="273"/>
      <c r="P8" s="171"/>
      <c r="Q8" s="171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>
        <v>181546995</v>
      </c>
      <c r="AC8" s="273"/>
      <c r="AD8" s="273"/>
      <c r="AE8" s="273"/>
      <c r="AF8" s="273">
        <v>151814150</v>
      </c>
      <c r="AG8" s="273"/>
      <c r="AH8" s="273"/>
      <c r="AI8" s="165"/>
      <c r="AJ8" s="173"/>
    </row>
    <row r="9" spans="1:36">
      <c r="A9" s="166" t="s">
        <v>701</v>
      </c>
      <c r="B9" s="191"/>
      <c r="C9" s="273"/>
      <c r="D9" s="273"/>
      <c r="E9" s="273"/>
      <c r="F9" s="273"/>
      <c r="G9" s="273"/>
      <c r="H9" s="273"/>
      <c r="I9" s="171"/>
      <c r="J9" s="273"/>
      <c r="K9" s="273"/>
      <c r="L9" s="171"/>
      <c r="M9" s="273"/>
      <c r="N9" s="273"/>
      <c r="O9" s="273"/>
      <c r="P9" s="171"/>
      <c r="Q9" s="171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165"/>
      <c r="AJ9" s="173"/>
    </row>
    <row r="10" spans="1:36">
      <c r="A10" s="166" t="s">
        <v>668</v>
      </c>
      <c r="B10" s="191"/>
      <c r="C10" s="175"/>
      <c r="D10" s="175"/>
      <c r="E10" s="175"/>
      <c r="F10" s="175"/>
      <c r="G10" s="175"/>
      <c r="H10" s="175"/>
      <c r="I10" s="175"/>
      <c r="J10" s="175"/>
      <c r="K10" s="175"/>
      <c r="L10" s="171"/>
      <c r="M10" s="175"/>
      <c r="N10" s="175"/>
      <c r="O10" s="175"/>
      <c r="P10" s="175"/>
      <c r="Q10" s="172"/>
      <c r="R10" s="175"/>
      <c r="S10" s="175"/>
      <c r="T10" s="171"/>
      <c r="U10" s="175"/>
      <c r="V10" s="175"/>
      <c r="W10" s="175"/>
      <c r="X10" s="175"/>
      <c r="Y10" s="175"/>
      <c r="Z10" s="175"/>
      <c r="AA10" s="171"/>
      <c r="AB10" s="175"/>
      <c r="AC10" s="175"/>
      <c r="AD10" s="175"/>
      <c r="AE10" s="175"/>
      <c r="AF10" s="175"/>
      <c r="AG10" s="175"/>
      <c r="AH10" s="175">
        <v>277790152</v>
      </c>
      <c r="AI10" s="165"/>
      <c r="AJ10" s="173"/>
    </row>
    <row r="11" spans="1:36">
      <c r="A11" s="166" t="s">
        <v>713</v>
      </c>
      <c r="B11" s="191"/>
      <c r="C11" s="175"/>
      <c r="D11" s="175"/>
      <c r="E11" s="175"/>
      <c r="F11" s="175"/>
      <c r="G11" s="175"/>
      <c r="H11" s="175"/>
      <c r="I11" s="175"/>
      <c r="J11" s="175"/>
      <c r="K11" s="175"/>
      <c r="L11" s="171"/>
      <c r="M11" s="175"/>
      <c r="N11" s="175"/>
      <c r="O11" s="175"/>
      <c r="P11" s="175"/>
      <c r="Q11" s="172"/>
      <c r="R11" s="175"/>
      <c r="S11" s="175"/>
      <c r="T11" s="171"/>
      <c r="U11" s="175"/>
      <c r="V11" s="175"/>
      <c r="W11" s="175"/>
      <c r="X11" s="175"/>
      <c r="Y11" s="175"/>
      <c r="Z11" s="175"/>
      <c r="AA11" s="171"/>
      <c r="AB11" s="175"/>
      <c r="AC11" s="175"/>
      <c r="AD11" s="175"/>
      <c r="AE11" s="175"/>
      <c r="AF11" s="175"/>
      <c r="AG11" s="175"/>
      <c r="AH11" s="175"/>
      <c r="AI11" s="165"/>
      <c r="AJ11" s="173"/>
    </row>
    <row r="12" spans="1:36">
      <c r="A12" s="166" t="s">
        <v>579</v>
      </c>
      <c r="B12" s="191"/>
      <c r="C12" s="171"/>
      <c r="D12" s="171"/>
      <c r="E12" s="171"/>
      <c r="F12" s="171"/>
      <c r="G12" s="171"/>
      <c r="H12" s="171"/>
      <c r="I12" s="171"/>
      <c r="J12" s="171"/>
      <c r="K12" s="171"/>
      <c r="L12" s="175"/>
      <c r="M12" s="171"/>
      <c r="N12" s="171"/>
      <c r="O12" s="171"/>
      <c r="P12" s="171"/>
      <c r="Q12" s="172"/>
      <c r="R12" s="171"/>
      <c r="S12" s="171"/>
      <c r="T12" s="171"/>
      <c r="U12" s="171"/>
      <c r="V12" s="171"/>
      <c r="W12" s="171"/>
      <c r="X12" s="171">
        <f>304491124-21288960</f>
        <v>283202164</v>
      </c>
      <c r="Y12" s="171"/>
      <c r="Z12" s="175"/>
      <c r="AA12" s="171"/>
      <c r="AB12" s="171"/>
      <c r="AC12" s="171"/>
      <c r="AD12" s="171"/>
      <c r="AE12" s="171"/>
      <c r="AF12" s="171"/>
      <c r="AG12" s="171"/>
      <c r="AH12" s="171"/>
      <c r="AI12" s="165"/>
      <c r="AJ12" s="234"/>
    </row>
    <row r="13" spans="1:36">
      <c r="A13" s="166" t="s">
        <v>479</v>
      </c>
      <c r="B13" s="191"/>
      <c r="C13" s="171"/>
      <c r="D13" s="171"/>
      <c r="E13" s="171"/>
      <c r="F13" s="171"/>
      <c r="G13" s="171"/>
      <c r="H13" s="171"/>
      <c r="I13" s="175"/>
      <c r="J13" s="175"/>
      <c r="K13" s="171"/>
      <c r="L13" s="175"/>
      <c r="M13" s="171"/>
      <c r="N13" s="171"/>
      <c r="O13" s="171"/>
      <c r="P13" s="175"/>
      <c r="Q13" s="172"/>
      <c r="R13" s="171"/>
      <c r="S13" s="171"/>
      <c r="T13" s="171"/>
      <c r="U13" s="171">
        <v>158455844</v>
      </c>
      <c r="V13" s="171"/>
      <c r="W13" s="171"/>
      <c r="X13" s="171"/>
      <c r="Y13" s="171"/>
      <c r="Z13" s="171"/>
      <c r="AA13" s="175"/>
      <c r="AB13" s="171"/>
      <c r="AC13" s="171"/>
      <c r="AD13" s="171"/>
      <c r="AE13" s="171"/>
      <c r="AF13" s="171"/>
      <c r="AG13" s="171"/>
      <c r="AH13" s="171"/>
      <c r="AI13" s="165"/>
      <c r="AJ13" s="234"/>
    </row>
    <row r="14" spans="1:36">
      <c r="A14" s="166" t="s">
        <v>734</v>
      </c>
      <c r="B14" s="191"/>
      <c r="C14" s="171"/>
      <c r="D14" s="171"/>
      <c r="E14" s="171"/>
      <c r="F14" s="171"/>
      <c r="G14" s="171">
        <v>167005441</v>
      </c>
      <c r="H14" s="171"/>
      <c r="I14" s="175"/>
      <c r="J14" s="175"/>
      <c r="K14" s="171"/>
      <c r="L14" s="175"/>
      <c r="M14" s="171"/>
      <c r="N14" s="171"/>
      <c r="O14" s="171"/>
      <c r="P14" s="175"/>
      <c r="Q14" s="172"/>
      <c r="R14" s="171"/>
      <c r="S14" s="171"/>
      <c r="T14" s="171"/>
      <c r="U14" s="171"/>
      <c r="V14" s="171"/>
      <c r="W14" s="171"/>
      <c r="X14" s="171"/>
      <c r="Y14" s="171">
        <v>1311402</v>
      </c>
      <c r="Z14" s="171"/>
      <c r="AA14" s="175"/>
      <c r="AB14" s="171"/>
      <c r="AC14" s="171"/>
      <c r="AD14" s="171"/>
      <c r="AE14" s="171">
        <v>174143080</v>
      </c>
      <c r="AF14" s="171"/>
      <c r="AG14" s="171"/>
      <c r="AH14" s="171"/>
      <c r="AI14" s="165"/>
      <c r="AJ14" s="234"/>
    </row>
    <row r="15" spans="1:36">
      <c r="A15" s="166" t="s">
        <v>17</v>
      </c>
      <c r="B15" s="19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2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65"/>
      <c r="AJ15" s="234"/>
    </row>
    <row r="16" spans="1:36">
      <c r="A16" s="166" t="s">
        <v>18</v>
      </c>
      <c r="B16" s="191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168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165"/>
      <c r="AJ16" s="233"/>
    </row>
    <row r="17" spans="1:38">
      <c r="A17" s="166" t="s">
        <v>19</v>
      </c>
      <c r="B17" s="191"/>
      <c r="C17" s="273"/>
      <c r="D17" s="273"/>
      <c r="E17" s="273"/>
      <c r="F17" s="273"/>
      <c r="G17" s="273"/>
      <c r="H17" s="273"/>
      <c r="I17" s="273"/>
      <c r="J17" s="273"/>
      <c r="K17" s="168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168"/>
      <c r="AC17" s="273"/>
      <c r="AD17" s="273"/>
      <c r="AE17" s="273"/>
      <c r="AF17" s="273"/>
      <c r="AG17" s="273"/>
      <c r="AH17" s="273"/>
      <c r="AI17" s="165"/>
      <c r="AJ17" s="233"/>
    </row>
    <row r="18" spans="1:38">
      <c r="A18" s="166" t="s">
        <v>750</v>
      </c>
      <c r="B18" s="191"/>
      <c r="C18" s="273"/>
      <c r="D18" s="167"/>
      <c r="E18" s="167"/>
      <c r="F18" s="167"/>
      <c r="G18" s="167"/>
      <c r="H18" s="167"/>
      <c r="I18" s="273"/>
      <c r="J18" s="273">
        <v>49679999</v>
      </c>
      <c r="K18" s="168">
        <v>69386396</v>
      </c>
      <c r="L18" s="273"/>
      <c r="M18" s="167"/>
      <c r="N18" s="167"/>
      <c r="O18" s="167"/>
      <c r="P18" s="273"/>
      <c r="Q18" s="273"/>
      <c r="R18" s="167"/>
      <c r="S18" s="167"/>
      <c r="T18" s="273"/>
      <c r="U18" s="167"/>
      <c r="V18" s="167"/>
      <c r="W18" s="273"/>
      <c r="X18" s="273"/>
      <c r="Y18" s="167"/>
      <c r="Z18" s="273"/>
      <c r="AA18" s="273"/>
      <c r="AB18" s="168"/>
      <c r="AC18" s="167"/>
      <c r="AD18" s="273"/>
      <c r="AE18" s="273"/>
      <c r="AF18" s="167"/>
      <c r="AG18" s="167"/>
      <c r="AH18" s="167">
        <v>49679999</v>
      </c>
      <c r="AI18" s="165"/>
      <c r="AJ18" s="233"/>
    </row>
    <row r="19" spans="1:38">
      <c r="A19" s="166" t="s">
        <v>530</v>
      </c>
      <c r="B19" s="191"/>
      <c r="C19" s="273"/>
      <c r="D19" s="167"/>
      <c r="E19" s="167"/>
      <c r="F19" s="167"/>
      <c r="G19" s="167"/>
      <c r="H19" s="167"/>
      <c r="I19" s="273"/>
      <c r="J19" s="273"/>
      <c r="K19" s="168"/>
      <c r="L19" s="273"/>
      <c r="M19" s="167"/>
      <c r="N19" s="167"/>
      <c r="O19" s="167"/>
      <c r="P19" s="273"/>
      <c r="Q19" s="273"/>
      <c r="R19" s="167"/>
      <c r="S19" s="167"/>
      <c r="T19" s="273"/>
      <c r="U19" s="167"/>
      <c r="V19" s="167"/>
      <c r="W19" s="273">
        <f>40418487-17483051</f>
        <v>22935436</v>
      </c>
      <c r="X19" s="273"/>
      <c r="Y19" s="167"/>
      <c r="Z19" s="273"/>
      <c r="AA19" s="273"/>
      <c r="AB19" s="168"/>
      <c r="AC19" s="167"/>
      <c r="AD19" s="273"/>
      <c r="AE19" s="273"/>
      <c r="AF19" s="167"/>
      <c r="AG19" s="167"/>
      <c r="AH19" s="167"/>
      <c r="AI19" s="165"/>
      <c r="AJ19" s="233"/>
    </row>
    <row r="20" spans="1:38">
      <c r="A20" s="166" t="s">
        <v>43</v>
      </c>
      <c r="B20" s="191"/>
      <c r="C20" s="273"/>
      <c r="D20" s="273"/>
      <c r="E20" s="273"/>
      <c r="F20" s="273"/>
      <c r="G20" s="273"/>
      <c r="H20" s="273"/>
      <c r="I20" s="171"/>
      <c r="J20" s="273"/>
      <c r="K20" s="168"/>
      <c r="L20" s="273"/>
      <c r="M20" s="273"/>
      <c r="N20" s="273"/>
      <c r="O20" s="273"/>
      <c r="P20" s="171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171"/>
      <c r="AB20" s="168"/>
      <c r="AC20" s="273"/>
      <c r="AD20" s="273"/>
      <c r="AE20" s="273"/>
      <c r="AF20" s="273"/>
      <c r="AG20" s="273"/>
      <c r="AH20" s="273"/>
      <c r="AI20" s="165"/>
      <c r="AJ20" s="233"/>
    </row>
    <row r="21" spans="1:38">
      <c r="A21" s="166" t="s">
        <v>770</v>
      </c>
      <c r="B21" s="191"/>
      <c r="C21" s="273"/>
      <c r="D21" s="273"/>
      <c r="E21" s="273"/>
      <c r="F21" s="273"/>
      <c r="G21" s="273"/>
      <c r="H21" s="273">
        <f>174760009-36949500</f>
        <v>137810509</v>
      </c>
      <c r="I21" s="171"/>
      <c r="J21" s="170"/>
      <c r="K21" s="273"/>
      <c r="L21" s="171"/>
      <c r="M21" s="273"/>
      <c r="N21" s="273"/>
      <c r="O21" s="273"/>
      <c r="P21" s="171"/>
      <c r="Q21" s="170"/>
      <c r="R21" s="273"/>
      <c r="S21" s="273"/>
      <c r="T21" s="171"/>
      <c r="U21" s="273">
        <v>158757386</v>
      </c>
      <c r="V21" s="273"/>
      <c r="W21" s="273"/>
      <c r="X21" s="273"/>
      <c r="Y21" s="273"/>
      <c r="Z21" s="171"/>
      <c r="AA21" s="171"/>
      <c r="AB21" s="168">
        <f>75582321-35585845-15520000</f>
        <v>24476476</v>
      </c>
      <c r="AC21" s="273"/>
      <c r="AD21" s="273"/>
      <c r="AE21" s="273"/>
      <c r="AF21" s="273"/>
      <c r="AG21" s="273"/>
      <c r="AH21" s="273"/>
      <c r="AI21" s="165"/>
      <c r="AJ21" s="233"/>
    </row>
    <row r="22" spans="1:38">
      <c r="A22" s="166" t="s">
        <v>447</v>
      </c>
      <c r="B22" s="191"/>
      <c r="C22" s="273"/>
      <c r="D22" s="273"/>
      <c r="E22" s="273"/>
      <c r="F22" s="273"/>
      <c r="G22" s="273"/>
      <c r="H22" s="273"/>
      <c r="I22" s="171"/>
      <c r="J22" s="170"/>
      <c r="K22" s="273"/>
      <c r="L22" s="170"/>
      <c r="M22" s="273"/>
      <c r="N22" s="273"/>
      <c r="O22" s="273"/>
      <c r="P22" s="171"/>
      <c r="Q22" s="170"/>
      <c r="R22" s="273"/>
      <c r="S22" s="273"/>
      <c r="T22" s="170"/>
      <c r="U22" s="273"/>
      <c r="V22" s="273"/>
      <c r="W22" s="273"/>
      <c r="X22" s="273"/>
      <c r="Y22" s="273"/>
      <c r="Z22" s="171"/>
      <c r="AA22" s="171"/>
      <c r="AB22" s="168"/>
      <c r="AC22" s="273"/>
      <c r="AD22" s="273"/>
      <c r="AE22" s="273"/>
      <c r="AF22" s="273"/>
      <c r="AG22" s="273"/>
      <c r="AH22" s="273"/>
      <c r="AI22" s="165"/>
      <c r="AJ22" s="233"/>
    </row>
    <row r="23" spans="1:38">
      <c r="A23" s="166" t="s">
        <v>348</v>
      </c>
      <c r="B23" s="191"/>
      <c r="C23" s="171">
        <f>52771903-35072049</f>
        <v>17699854</v>
      </c>
      <c r="D23" s="171"/>
      <c r="E23" s="171"/>
      <c r="F23" s="171"/>
      <c r="G23" s="171"/>
      <c r="H23" s="171"/>
      <c r="I23" s="171"/>
      <c r="J23" s="273"/>
      <c r="K23" s="171"/>
      <c r="L23" s="273"/>
      <c r="M23" s="171"/>
      <c r="N23" s="171">
        <f>126062777-2514649</f>
        <v>123548128</v>
      </c>
      <c r="O23" s="171"/>
      <c r="P23" s="171"/>
      <c r="Q23" s="273"/>
      <c r="R23" s="171"/>
      <c r="S23" s="171"/>
      <c r="T23" s="273"/>
      <c r="U23" s="171"/>
      <c r="V23" s="171"/>
      <c r="W23" s="171"/>
      <c r="X23" s="171"/>
      <c r="Y23" s="171"/>
      <c r="Z23" s="273"/>
      <c r="AA23" s="171"/>
      <c r="AB23" s="171"/>
      <c r="AC23" s="171"/>
      <c r="AD23" s="171"/>
      <c r="AE23" s="171"/>
      <c r="AF23" s="171"/>
      <c r="AG23" s="171"/>
      <c r="AH23" s="171"/>
      <c r="AI23" s="165"/>
      <c r="AJ23" s="235"/>
    </row>
    <row r="24" spans="1:38">
      <c r="A24" s="166" t="s">
        <v>354</v>
      </c>
      <c r="B24" s="191"/>
      <c r="C24" s="171"/>
      <c r="D24" s="171"/>
      <c r="E24" s="171"/>
      <c r="F24" s="171"/>
      <c r="G24" s="171"/>
      <c r="H24" s="171"/>
      <c r="I24" s="273"/>
      <c r="J24" s="273"/>
      <c r="K24" s="171"/>
      <c r="L24" s="273"/>
      <c r="M24" s="171"/>
      <c r="N24" s="171"/>
      <c r="O24" s="171"/>
      <c r="P24" s="273"/>
      <c r="Q24" s="273"/>
      <c r="R24" s="171"/>
      <c r="S24" s="171"/>
      <c r="T24" s="273"/>
      <c r="U24" s="171"/>
      <c r="V24" s="171"/>
      <c r="W24" s="171"/>
      <c r="X24" s="171">
        <f>177435970-70487512</f>
        <v>106948458</v>
      </c>
      <c r="Y24" s="171"/>
      <c r="Z24" s="273"/>
      <c r="AA24" s="273"/>
      <c r="AB24" s="171"/>
      <c r="AC24" s="171"/>
      <c r="AD24" s="171"/>
      <c r="AE24" s="171"/>
      <c r="AF24" s="171"/>
      <c r="AG24" s="171"/>
      <c r="AH24" s="171"/>
      <c r="AI24" s="165"/>
      <c r="AJ24" s="235"/>
    </row>
    <row r="25" spans="1:38">
      <c r="A25" s="166" t="s">
        <v>350</v>
      </c>
      <c r="B25" s="191"/>
      <c r="C25" s="171"/>
      <c r="D25" s="171"/>
      <c r="E25" s="171"/>
      <c r="F25" s="171"/>
      <c r="G25" s="171"/>
      <c r="H25" s="171"/>
      <c r="I25" s="273"/>
      <c r="J25" s="273"/>
      <c r="K25" s="171"/>
      <c r="L25" s="273"/>
      <c r="M25" s="171"/>
      <c r="N25" s="171"/>
      <c r="O25" s="171"/>
      <c r="P25" s="172"/>
      <c r="Q25" s="273"/>
      <c r="R25" s="171"/>
      <c r="S25" s="171"/>
      <c r="T25" s="273"/>
      <c r="U25" s="171"/>
      <c r="V25" s="171"/>
      <c r="W25" s="171"/>
      <c r="X25" s="171"/>
      <c r="Y25" s="171"/>
      <c r="Z25" s="273"/>
      <c r="AA25" s="273"/>
      <c r="AB25" s="171"/>
      <c r="AC25" s="171"/>
      <c r="AD25" s="171"/>
      <c r="AE25" s="171"/>
      <c r="AF25" s="171"/>
      <c r="AG25" s="171"/>
      <c r="AH25" s="171"/>
      <c r="AI25" s="165"/>
      <c r="AJ25" s="235"/>
    </row>
    <row r="26" spans="1:38">
      <c r="A26" s="166" t="s">
        <v>700</v>
      </c>
      <c r="B26" s="191"/>
      <c r="C26" s="172"/>
      <c r="D26" s="172"/>
      <c r="E26" s="172"/>
      <c r="F26" s="172"/>
      <c r="G26" s="172">
        <v>75274396</v>
      </c>
      <c r="H26" s="172"/>
      <c r="I26" s="273"/>
      <c r="J26" s="329"/>
      <c r="K26" s="172">
        <v>176308972</v>
      </c>
      <c r="L26" s="273"/>
      <c r="M26" s="172"/>
      <c r="N26" s="172"/>
      <c r="O26" s="172"/>
      <c r="P26" s="334">
        <v>69192576</v>
      </c>
      <c r="Q26" s="329"/>
      <c r="R26" s="172"/>
      <c r="S26" s="172"/>
      <c r="T26" s="329"/>
      <c r="U26" s="172"/>
      <c r="V26" s="172"/>
      <c r="W26" s="172"/>
      <c r="X26" s="172"/>
      <c r="Y26" s="172"/>
      <c r="Z26" s="329"/>
      <c r="AA26" s="329"/>
      <c r="AB26" s="172"/>
      <c r="AC26" s="172"/>
      <c r="AD26" s="172"/>
      <c r="AE26" s="172"/>
      <c r="AF26" s="172"/>
      <c r="AG26" s="172"/>
      <c r="AH26" s="172"/>
      <c r="AI26" s="165"/>
      <c r="AJ26" s="235"/>
    </row>
    <row r="27" spans="1:38">
      <c r="A27" s="166" t="s">
        <v>702</v>
      </c>
      <c r="B27" s="191"/>
      <c r="C27" s="329"/>
      <c r="D27" s="329"/>
      <c r="E27" s="329"/>
      <c r="F27" s="334"/>
      <c r="G27" s="334"/>
      <c r="H27" s="329"/>
      <c r="I27" s="273"/>
      <c r="J27" s="329"/>
      <c r="K27" s="329"/>
      <c r="L27" s="273"/>
      <c r="M27" s="329"/>
      <c r="N27" s="329"/>
      <c r="O27" s="329"/>
      <c r="P27" s="334"/>
      <c r="Q27" s="329"/>
      <c r="R27" s="329"/>
      <c r="S27" s="329"/>
      <c r="T27" s="329"/>
      <c r="U27" s="329"/>
      <c r="V27" s="329"/>
      <c r="W27" s="329"/>
      <c r="X27" s="329"/>
      <c r="Y27" s="329"/>
      <c r="Z27" s="334"/>
      <c r="AA27" s="334"/>
      <c r="AB27" s="329"/>
      <c r="AC27" s="329"/>
      <c r="AD27" s="334"/>
      <c r="AE27" s="329"/>
      <c r="AF27" s="329"/>
      <c r="AG27" s="329"/>
      <c r="AH27" s="329">
        <v>288712094</v>
      </c>
      <c r="AI27" s="165"/>
      <c r="AJ27" s="235"/>
    </row>
    <row r="28" spans="1:38">
      <c r="A28" s="166" t="s">
        <v>741</v>
      </c>
      <c r="B28" s="191"/>
      <c r="C28" s="329"/>
      <c r="D28" s="329"/>
      <c r="E28" s="329"/>
      <c r="F28" s="334"/>
      <c r="G28" s="334">
        <v>303573414</v>
      </c>
      <c r="H28" s="329"/>
      <c r="I28" s="273"/>
      <c r="J28" s="329"/>
      <c r="K28" s="334">
        <v>50231997</v>
      </c>
      <c r="L28" s="273"/>
      <c r="M28" s="329"/>
      <c r="N28" s="329"/>
      <c r="O28" s="329"/>
      <c r="P28" s="334"/>
      <c r="Q28" s="334"/>
      <c r="R28" s="329"/>
      <c r="S28" s="329"/>
      <c r="T28" s="329"/>
      <c r="U28" s="329"/>
      <c r="V28" s="329"/>
      <c r="W28" s="329"/>
      <c r="X28" s="329"/>
      <c r="Y28" s="329"/>
      <c r="Z28" s="334"/>
      <c r="AA28" s="334"/>
      <c r="AB28" s="329"/>
      <c r="AC28" s="329"/>
      <c r="AD28" s="334"/>
      <c r="AE28" s="329"/>
      <c r="AF28" s="329"/>
      <c r="AG28" s="329"/>
      <c r="AH28" s="329"/>
      <c r="AI28" s="165"/>
      <c r="AJ28" s="235"/>
    </row>
    <row r="29" spans="1:38">
      <c r="A29" s="166" t="s">
        <v>742</v>
      </c>
      <c r="B29" s="191"/>
      <c r="C29" s="329"/>
      <c r="D29" s="329"/>
      <c r="E29" s="329"/>
      <c r="F29" s="334"/>
      <c r="G29" s="334"/>
      <c r="H29" s="329"/>
      <c r="I29" s="273"/>
      <c r="J29" s="329"/>
      <c r="K29" s="334">
        <v>496851972</v>
      </c>
      <c r="L29" s="273"/>
      <c r="M29" s="329"/>
      <c r="N29" s="329"/>
      <c r="O29" s="329"/>
      <c r="P29" s="334">
        <v>294190235</v>
      </c>
      <c r="Q29" s="334"/>
      <c r="R29" s="329"/>
      <c r="S29" s="329"/>
      <c r="T29" s="329"/>
      <c r="U29" s="329"/>
      <c r="V29" s="329"/>
      <c r="W29" s="329"/>
      <c r="X29" s="329"/>
      <c r="Y29" s="329"/>
      <c r="Z29" s="334"/>
      <c r="AA29" s="334"/>
      <c r="AB29" s="329"/>
      <c r="AC29" s="329"/>
      <c r="AD29" s="334"/>
      <c r="AE29" s="329"/>
      <c r="AF29" s="329"/>
      <c r="AG29" s="329"/>
      <c r="AH29" s="329"/>
      <c r="AI29" s="165"/>
      <c r="AJ29" s="235"/>
    </row>
    <row r="30" spans="1:38">
      <c r="A30" s="166" t="s">
        <v>704</v>
      </c>
      <c r="B30" s="191"/>
      <c r="C30" s="329"/>
      <c r="D30" s="329"/>
      <c r="E30" s="329"/>
      <c r="F30" s="334"/>
      <c r="G30" s="334"/>
      <c r="H30" s="329"/>
      <c r="I30" s="273"/>
      <c r="J30" s="329"/>
      <c r="K30" s="329"/>
      <c r="L30" s="273"/>
      <c r="M30" s="329"/>
      <c r="N30" s="329"/>
      <c r="O30" s="329"/>
      <c r="P30" s="334"/>
      <c r="Q30" s="329"/>
      <c r="R30" s="329"/>
      <c r="S30" s="329"/>
      <c r="T30" s="329"/>
      <c r="U30" s="329"/>
      <c r="V30" s="329"/>
      <c r="W30" s="329"/>
      <c r="X30" s="329"/>
      <c r="Y30" s="329"/>
      <c r="Z30" s="334"/>
      <c r="AA30" s="334"/>
      <c r="AB30" s="329"/>
      <c r="AC30" s="329"/>
      <c r="AD30" s="334"/>
      <c r="AE30" s="329"/>
      <c r="AF30" s="329"/>
      <c r="AG30" s="329"/>
      <c r="AH30" s="329">
        <v>334823870</v>
      </c>
      <c r="AI30" s="165"/>
      <c r="AJ30" s="235"/>
    </row>
    <row r="31" spans="1:38">
      <c r="A31" s="166" t="s">
        <v>649</v>
      </c>
      <c r="B31" s="19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2"/>
      <c r="AA31" s="172"/>
      <c r="AB31" s="171"/>
      <c r="AC31" s="171"/>
      <c r="AD31" s="172"/>
      <c r="AE31" s="171"/>
      <c r="AF31" s="171"/>
      <c r="AG31" s="171"/>
      <c r="AH31" s="171"/>
      <c r="AI31" s="165"/>
      <c r="AJ31" s="234"/>
    </row>
    <row r="32" spans="1:38">
      <c r="A32" s="166" t="s">
        <v>576</v>
      </c>
      <c r="B32" s="191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>
        <v>103374298</v>
      </c>
      <c r="AI32" s="165"/>
      <c r="AJ32" s="234"/>
      <c r="AK32" s="184"/>
      <c r="AL32" s="186">
        <f>6325269+60889034</f>
        <v>67214303</v>
      </c>
    </row>
    <row r="33" spans="1:38">
      <c r="A33" s="187" t="s">
        <v>327</v>
      </c>
      <c r="B33" s="191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>
        <v>61709422</v>
      </c>
      <c r="AI33" s="165"/>
      <c r="AJ33" s="234"/>
      <c r="AK33" s="184"/>
      <c r="AL33" s="186"/>
    </row>
    <row r="34" spans="1:38">
      <c r="A34" s="187" t="s">
        <v>328</v>
      </c>
      <c r="B34" s="191"/>
      <c r="C34" s="175"/>
      <c r="D34" s="175"/>
      <c r="E34" s="175"/>
      <c r="F34" s="175"/>
      <c r="G34" s="172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>
        <v>316175655</v>
      </c>
      <c r="AI34" s="165"/>
      <c r="AJ34" s="234"/>
      <c r="AK34" s="184"/>
      <c r="AL34" s="185"/>
    </row>
    <row r="35" spans="1:38">
      <c r="A35" s="187" t="s">
        <v>330</v>
      </c>
      <c r="B35" s="191"/>
      <c r="C35" s="175"/>
      <c r="D35" s="175"/>
      <c r="E35" s="175"/>
      <c r="F35" s="175"/>
      <c r="G35" s="172"/>
      <c r="H35" s="175"/>
      <c r="I35" s="175"/>
      <c r="J35" s="175"/>
      <c r="K35" s="175"/>
      <c r="L35" s="175"/>
      <c r="M35" s="172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>
        <v>416002400</v>
      </c>
      <c r="AI35" s="165"/>
      <c r="AJ35" s="234">
        <f>SUM(AI32:AI35)</f>
        <v>0</v>
      </c>
      <c r="AK35" s="184"/>
      <c r="AL35" s="185"/>
    </row>
    <row r="36" spans="1:38">
      <c r="A36" s="166" t="s">
        <v>24</v>
      </c>
      <c r="B36" s="191"/>
      <c r="C36" s="171"/>
      <c r="D36" s="171"/>
      <c r="E36" s="171"/>
      <c r="F36" s="171"/>
      <c r="G36" s="172"/>
      <c r="H36" s="171"/>
      <c r="I36" s="171"/>
      <c r="J36" s="171"/>
      <c r="K36" s="171"/>
      <c r="L36" s="171"/>
      <c r="M36" s="172"/>
      <c r="N36" s="172"/>
      <c r="O36" s="171"/>
      <c r="P36" s="172"/>
      <c r="Q36" s="171"/>
      <c r="R36" s="171"/>
      <c r="S36" s="171"/>
      <c r="T36" s="171"/>
      <c r="U36" s="172"/>
      <c r="V36" s="171"/>
      <c r="W36" s="171"/>
      <c r="X36" s="171">
        <v>279526405</v>
      </c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65"/>
      <c r="AJ36" s="235"/>
      <c r="AK36" s="189"/>
    </row>
    <row r="37" spans="1:38">
      <c r="A37" s="166" t="s">
        <v>618</v>
      </c>
      <c r="B37" s="191"/>
      <c r="C37" s="175"/>
      <c r="D37" s="175"/>
      <c r="E37" s="175"/>
      <c r="F37" s="175"/>
      <c r="G37" s="172"/>
      <c r="H37" s="175"/>
      <c r="I37" s="175"/>
      <c r="J37" s="172"/>
      <c r="K37" s="175"/>
      <c r="L37" s="175"/>
      <c r="M37" s="172"/>
      <c r="N37" s="172">
        <f>55951403-47422569</f>
        <v>8528834</v>
      </c>
      <c r="O37" s="175"/>
      <c r="P37" s="172"/>
      <c r="Q37" s="175"/>
      <c r="R37" s="175"/>
      <c r="S37" s="175"/>
      <c r="T37" s="172"/>
      <c r="U37" s="172"/>
      <c r="V37" s="175"/>
      <c r="W37" s="175"/>
      <c r="X37" s="172"/>
      <c r="Y37" s="175"/>
      <c r="Z37" s="172"/>
      <c r="AA37" s="175"/>
      <c r="AB37" s="172">
        <v>33966222</v>
      </c>
      <c r="AC37" s="175"/>
      <c r="AD37" s="175"/>
      <c r="AE37" s="175"/>
      <c r="AF37" s="175"/>
      <c r="AG37" s="175"/>
      <c r="AH37" s="175"/>
      <c r="AI37" s="165"/>
      <c r="AJ37" s="234"/>
      <c r="AK37" s="189"/>
    </row>
    <row r="38" spans="1:38">
      <c r="A38" s="166" t="s">
        <v>493</v>
      </c>
      <c r="B38" s="191"/>
      <c r="C38" s="171">
        <v>136107877</v>
      </c>
      <c r="D38" s="171"/>
      <c r="E38" s="171"/>
      <c r="F38" s="171"/>
      <c r="G38" s="172"/>
      <c r="H38" s="171"/>
      <c r="I38" s="171"/>
      <c r="J38" s="171"/>
      <c r="K38" s="171"/>
      <c r="L38" s="171"/>
      <c r="M38" s="172"/>
      <c r="N38" s="172">
        <v>226621750</v>
      </c>
      <c r="O38" s="171"/>
      <c r="P38" s="172"/>
      <c r="Q38" s="171"/>
      <c r="R38" s="171"/>
      <c r="S38" s="171"/>
      <c r="T38" s="171"/>
      <c r="U38" s="172"/>
      <c r="V38" s="171"/>
      <c r="W38" s="171"/>
      <c r="X38" s="171"/>
      <c r="Y38" s="171"/>
      <c r="Z38" s="171"/>
      <c r="AA38" s="171"/>
      <c r="AB38" s="172"/>
      <c r="AC38" s="171"/>
      <c r="AD38" s="171"/>
      <c r="AE38" s="171"/>
      <c r="AF38" s="171"/>
      <c r="AG38" s="171"/>
      <c r="AH38" s="171"/>
      <c r="AI38" s="165"/>
      <c r="AJ38" s="234"/>
      <c r="AK38" s="189"/>
    </row>
    <row r="39" spans="1:38">
      <c r="A39" s="166" t="s">
        <v>333</v>
      </c>
      <c r="B39" s="191"/>
      <c r="C39" s="328"/>
      <c r="D39" s="328"/>
      <c r="E39" s="328"/>
      <c r="F39" s="328"/>
      <c r="G39" s="337"/>
      <c r="H39" s="328"/>
      <c r="I39" s="167"/>
      <c r="J39" s="328"/>
      <c r="K39" s="328"/>
      <c r="L39" s="167"/>
      <c r="M39" s="337"/>
      <c r="N39" s="337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328"/>
      <c r="AA39" s="328"/>
      <c r="AB39" s="337"/>
      <c r="AC39" s="328"/>
      <c r="AD39" s="328"/>
      <c r="AE39" s="328"/>
      <c r="AF39" s="328"/>
      <c r="AG39" s="328"/>
      <c r="AH39" s="328">
        <v>61003007</v>
      </c>
      <c r="AI39" s="165"/>
      <c r="AJ39" s="233"/>
    </row>
    <row r="40" spans="1:38">
      <c r="A40" s="166" t="s">
        <v>539</v>
      </c>
      <c r="B40" s="191"/>
      <c r="C40" s="328"/>
      <c r="D40" s="328"/>
      <c r="E40" s="328"/>
      <c r="F40" s="328"/>
      <c r="G40" s="328"/>
      <c r="H40" s="328"/>
      <c r="I40" s="167"/>
      <c r="J40" s="328"/>
      <c r="K40" s="328"/>
      <c r="L40" s="167"/>
      <c r="M40" s="328"/>
      <c r="N40" s="328"/>
      <c r="O40" s="328"/>
      <c r="P40" s="328"/>
      <c r="Q40" s="328"/>
      <c r="R40" s="328"/>
      <c r="S40" s="328"/>
      <c r="T40" s="328"/>
      <c r="U40" s="328"/>
      <c r="V40" s="328"/>
      <c r="W40" s="328"/>
      <c r="X40" s="328"/>
      <c r="Y40" s="328"/>
      <c r="Z40" s="328"/>
      <c r="AA40" s="328"/>
      <c r="AB40" s="328"/>
      <c r="AC40" s="328"/>
      <c r="AD40" s="328"/>
      <c r="AE40" s="328"/>
      <c r="AF40" s="328"/>
      <c r="AG40" s="328"/>
      <c r="AH40" s="328">
        <f>127319117+12869993+149745116</f>
        <v>289934226</v>
      </c>
      <c r="AI40" s="165"/>
      <c r="AJ40" s="233"/>
    </row>
    <row r="41" spans="1:38">
      <c r="A41" s="166" t="s">
        <v>336</v>
      </c>
      <c r="B41" s="191"/>
      <c r="C41" s="328"/>
      <c r="D41" s="328"/>
      <c r="E41" s="328"/>
      <c r="F41" s="328"/>
      <c r="G41" s="337"/>
      <c r="H41" s="328"/>
      <c r="I41" s="167"/>
      <c r="J41" s="328"/>
      <c r="K41" s="328"/>
      <c r="L41" s="167"/>
      <c r="M41" s="328"/>
      <c r="N41" s="328"/>
      <c r="O41" s="328"/>
      <c r="P41" s="328"/>
      <c r="Q41" s="328"/>
      <c r="R41" s="328"/>
      <c r="S41" s="328"/>
      <c r="T41" s="328"/>
      <c r="U41" s="328"/>
      <c r="V41" s="328"/>
      <c r="W41" s="328"/>
      <c r="X41" s="328"/>
      <c r="Y41" s="328"/>
      <c r="Z41" s="328"/>
      <c r="AA41" s="328"/>
      <c r="AB41" s="328"/>
      <c r="AC41" s="328"/>
      <c r="AD41" s="328"/>
      <c r="AE41" s="328"/>
      <c r="AF41" s="328"/>
      <c r="AG41" s="328"/>
      <c r="AH41" s="328">
        <v>30744983</v>
      </c>
      <c r="AI41" s="165"/>
      <c r="AJ41" s="233">
        <f>SUM(AI39:AI41)</f>
        <v>0</v>
      </c>
    </row>
    <row r="42" spans="1:38">
      <c r="A42" s="166" t="s">
        <v>337</v>
      </c>
      <c r="B42" s="191"/>
      <c r="C42" s="168"/>
      <c r="D42" s="168">
        <v>115947720</v>
      </c>
      <c r="E42" s="168"/>
      <c r="F42" s="168"/>
      <c r="G42" s="168"/>
      <c r="H42" s="168"/>
      <c r="I42" s="273"/>
      <c r="J42" s="168">
        <v>38649240</v>
      </c>
      <c r="K42" s="168"/>
      <c r="L42" s="273"/>
      <c r="M42" s="168"/>
      <c r="N42" s="168">
        <v>33127920</v>
      </c>
      <c r="O42" s="168"/>
      <c r="P42" s="273">
        <v>218092140</v>
      </c>
      <c r="Q42" s="273"/>
      <c r="R42" s="168"/>
      <c r="S42" s="168"/>
      <c r="T42" s="273"/>
      <c r="U42" s="168"/>
      <c r="V42" s="168"/>
      <c r="W42" s="168">
        <f>38649240-5619465</f>
        <v>33029775</v>
      </c>
      <c r="X42" s="168">
        <v>76194216</v>
      </c>
      <c r="Y42" s="168">
        <f>38649240+38649240</f>
        <v>77298480</v>
      </c>
      <c r="Z42" s="273"/>
      <c r="AA42" s="273"/>
      <c r="AB42" s="168"/>
      <c r="AC42" s="168">
        <v>117787700</v>
      </c>
      <c r="AD42" s="168">
        <v>33127920</v>
      </c>
      <c r="AE42" s="168"/>
      <c r="AF42" s="168"/>
      <c r="AG42" s="168"/>
      <c r="AH42" s="168"/>
      <c r="AI42" s="165"/>
      <c r="AJ42" s="233"/>
    </row>
    <row r="43" spans="1:38">
      <c r="A43" s="166" t="s">
        <v>650</v>
      </c>
      <c r="B43" s="191"/>
      <c r="C43" s="168"/>
      <c r="D43" s="168"/>
      <c r="E43" s="168"/>
      <c r="F43" s="168"/>
      <c r="G43" s="337">
        <v>77298480</v>
      </c>
      <c r="H43" s="168"/>
      <c r="I43" s="273"/>
      <c r="J43" s="168"/>
      <c r="K43" s="168"/>
      <c r="L43" s="273"/>
      <c r="M43" s="168"/>
      <c r="N43" s="168"/>
      <c r="O43" s="168"/>
      <c r="P43" s="273"/>
      <c r="Q43" s="273"/>
      <c r="R43" s="168"/>
      <c r="S43" s="168"/>
      <c r="T43" s="273"/>
      <c r="U43" s="168"/>
      <c r="V43" s="168"/>
      <c r="W43" s="168"/>
      <c r="X43" s="168"/>
      <c r="Y43" s="168"/>
      <c r="Z43" s="273"/>
      <c r="AA43" s="273"/>
      <c r="AB43" s="168"/>
      <c r="AC43" s="168"/>
      <c r="AD43" s="168"/>
      <c r="AE43" s="168"/>
      <c r="AF43" s="168"/>
      <c r="AG43" s="168"/>
      <c r="AH43" s="168"/>
      <c r="AI43" s="165"/>
      <c r="AJ43" s="233"/>
    </row>
    <row r="44" spans="1:38">
      <c r="A44" s="166" t="s">
        <v>672</v>
      </c>
      <c r="B44" s="191"/>
      <c r="C44" s="328"/>
      <c r="D44" s="328"/>
      <c r="E44" s="328"/>
      <c r="F44" s="328"/>
      <c r="G44" s="337"/>
      <c r="H44" s="328"/>
      <c r="I44" s="167"/>
      <c r="J44" s="328"/>
      <c r="K44" s="328"/>
      <c r="L44" s="167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8">
        <v>108652171</v>
      </c>
      <c r="AI44" s="165"/>
      <c r="AJ44" s="233"/>
    </row>
    <row r="45" spans="1:38">
      <c r="A45" s="166" t="s">
        <v>673</v>
      </c>
      <c r="B45" s="191"/>
      <c r="C45" s="328"/>
      <c r="D45" s="328"/>
      <c r="E45" s="328"/>
      <c r="F45" s="328"/>
      <c r="G45" s="337"/>
      <c r="H45" s="328"/>
      <c r="I45" s="167"/>
      <c r="J45" s="328"/>
      <c r="K45" s="328"/>
      <c r="L45" s="167"/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8"/>
      <c r="AB45" s="328"/>
      <c r="AC45" s="328"/>
      <c r="AD45" s="328"/>
      <c r="AE45" s="328"/>
      <c r="AF45" s="328"/>
      <c r="AG45" s="328"/>
      <c r="AH45" s="328">
        <v>572491141</v>
      </c>
      <c r="AI45" s="165"/>
      <c r="AJ45" s="233"/>
    </row>
    <row r="46" spans="1:38">
      <c r="A46" s="166" t="s">
        <v>674</v>
      </c>
      <c r="B46" s="191"/>
      <c r="C46" s="328"/>
      <c r="D46" s="328"/>
      <c r="E46" s="328"/>
      <c r="F46" s="328"/>
      <c r="G46" s="337"/>
      <c r="H46" s="328"/>
      <c r="I46" s="167"/>
      <c r="J46" s="328"/>
      <c r="K46" s="328"/>
      <c r="L46" s="167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328">
        <v>97350602</v>
      </c>
      <c r="AI46" s="165"/>
      <c r="AJ46" s="233"/>
    </row>
    <row r="47" spans="1:38">
      <c r="A47" s="166" t="s">
        <v>27</v>
      </c>
      <c r="B47" s="191"/>
      <c r="C47" s="273"/>
      <c r="D47" s="273"/>
      <c r="E47" s="273"/>
      <c r="F47" s="273"/>
      <c r="G47" s="273"/>
      <c r="H47" s="273"/>
      <c r="I47" s="171"/>
      <c r="J47" s="273">
        <f>40860000-21283883</f>
        <v>19576117</v>
      </c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>
        <v>54480000</v>
      </c>
      <c r="V47" s="273"/>
      <c r="W47" s="273"/>
      <c r="X47" s="273"/>
      <c r="Y47" s="273"/>
      <c r="Z47" s="273"/>
      <c r="AA47" s="273"/>
      <c r="AB47" s="273"/>
      <c r="AC47" s="273"/>
      <c r="AD47" s="273">
        <v>102150000</v>
      </c>
      <c r="AE47" s="273">
        <f>102150000-9682286</f>
        <v>92467714</v>
      </c>
      <c r="AF47" s="273"/>
      <c r="AG47" s="273"/>
      <c r="AH47" s="273"/>
      <c r="AI47" s="165"/>
      <c r="AJ47" s="233"/>
    </row>
    <row r="48" spans="1:38">
      <c r="A48" s="166" t="s">
        <v>30</v>
      </c>
      <c r="B48" s="19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0"/>
      <c r="Q48" s="170"/>
      <c r="R48" s="171"/>
      <c r="S48" s="171"/>
      <c r="T48" s="170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65"/>
      <c r="AJ48" s="170"/>
    </row>
    <row r="49" spans="1:36">
      <c r="A49" s="166" t="s">
        <v>347</v>
      </c>
      <c r="B49" s="191"/>
      <c r="C49" s="171"/>
      <c r="D49" s="171"/>
      <c r="E49" s="171"/>
      <c r="F49" s="171"/>
      <c r="G49" s="171"/>
      <c r="H49" s="171"/>
      <c r="I49" s="171"/>
      <c r="J49" s="273"/>
      <c r="K49" s="171"/>
      <c r="L49" s="171"/>
      <c r="M49" s="171"/>
      <c r="N49" s="171"/>
      <c r="O49" s="171"/>
      <c r="P49" s="170"/>
      <c r="Q49" s="170"/>
      <c r="R49" s="171"/>
      <c r="S49" s="171"/>
      <c r="T49" s="170"/>
      <c r="U49" s="171"/>
      <c r="V49" s="171"/>
      <c r="W49" s="171"/>
      <c r="X49" s="171"/>
      <c r="Y49" s="171"/>
      <c r="Z49" s="273"/>
      <c r="AA49" s="273"/>
      <c r="AB49" s="171"/>
      <c r="AC49" s="171"/>
      <c r="AD49" s="171"/>
      <c r="AE49" s="171"/>
      <c r="AF49" s="171"/>
      <c r="AG49" s="171"/>
      <c r="AH49" s="171"/>
      <c r="AI49" s="165"/>
      <c r="AJ49" s="170"/>
    </row>
    <row r="50" spans="1:36">
      <c r="A50" s="192" t="s">
        <v>476</v>
      </c>
      <c r="B50" s="191"/>
      <c r="C50" s="171"/>
      <c r="D50" s="171"/>
      <c r="E50" s="171"/>
      <c r="F50" s="171"/>
      <c r="G50" s="171"/>
      <c r="H50" s="171"/>
      <c r="I50" s="171"/>
      <c r="J50" s="273"/>
      <c r="K50" s="171"/>
      <c r="L50" s="171"/>
      <c r="M50" s="171"/>
      <c r="N50" s="171"/>
      <c r="O50" s="171">
        <v>35239472</v>
      </c>
      <c r="P50" s="273"/>
      <c r="Q50" s="273"/>
      <c r="R50" s="171"/>
      <c r="S50" s="171"/>
      <c r="T50" s="273"/>
      <c r="U50" s="171"/>
      <c r="V50" s="171"/>
      <c r="W50" s="171"/>
      <c r="X50" s="172"/>
      <c r="Y50" s="171"/>
      <c r="Z50" s="273"/>
      <c r="AA50" s="273"/>
      <c r="AB50" s="171"/>
      <c r="AC50" s="171"/>
      <c r="AD50" s="171"/>
      <c r="AE50" s="171"/>
      <c r="AF50" s="171"/>
      <c r="AG50" s="171"/>
      <c r="AH50" s="171"/>
      <c r="AI50" s="165"/>
      <c r="AJ50" s="167"/>
    </row>
    <row r="51" spans="1:36">
      <c r="A51" s="192" t="s">
        <v>693</v>
      </c>
      <c r="B51" s="191"/>
      <c r="C51" s="175"/>
      <c r="D51" s="175"/>
      <c r="E51" s="175"/>
      <c r="F51" s="175"/>
      <c r="G51" s="175"/>
      <c r="H51" s="175"/>
      <c r="I51" s="175"/>
      <c r="J51" s="175"/>
      <c r="K51" s="175">
        <f>633125209+517107806+509213396</f>
        <v>1659446411</v>
      </c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>
        <v>633125209</v>
      </c>
      <c r="AI51" s="165"/>
      <c r="AJ51" s="167"/>
    </row>
    <row r="52" spans="1:36">
      <c r="A52" s="192" t="s">
        <v>670</v>
      </c>
      <c r="B52" s="191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2"/>
      <c r="Y52" s="175"/>
      <c r="Z52" s="175"/>
      <c r="AA52" s="175"/>
      <c r="AB52" s="175"/>
      <c r="AC52" s="175"/>
      <c r="AD52" s="175"/>
      <c r="AE52" s="175"/>
      <c r="AF52" s="175"/>
      <c r="AG52" s="175"/>
      <c r="AH52" s="175">
        <f>35000000*5</f>
        <v>175000000</v>
      </c>
      <c r="AI52" s="165"/>
      <c r="AJ52" s="167"/>
    </row>
    <row r="53" spans="1:36">
      <c r="A53" s="192" t="s">
        <v>213</v>
      </c>
      <c r="B53" s="191"/>
      <c r="C53" s="273"/>
      <c r="D53" s="273"/>
      <c r="E53" s="273"/>
      <c r="F53" s="273"/>
      <c r="G53" s="273">
        <v>1000000000</v>
      </c>
      <c r="H53" s="273"/>
      <c r="I53" s="273"/>
      <c r="J53" s="273"/>
      <c r="K53" s="273"/>
      <c r="L53" s="273"/>
      <c r="M53" s="273"/>
      <c r="N53" s="273"/>
      <c r="O53" s="273"/>
      <c r="P53" s="273"/>
      <c r="Q53" s="273">
        <v>2500000000</v>
      </c>
      <c r="R53" s="273"/>
      <c r="S53" s="273"/>
      <c r="T53" s="273"/>
      <c r="U53" s="273">
        <v>1500000000</v>
      </c>
      <c r="V53" s="273"/>
      <c r="W53" s="273"/>
      <c r="X53" s="273"/>
      <c r="Y53" s="273"/>
      <c r="Z53" s="273"/>
      <c r="AA53" s="273"/>
      <c r="AB53" s="273"/>
      <c r="AC53" s="273"/>
      <c r="AD53" s="273"/>
      <c r="AE53" s="273"/>
      <c r="AF53" s="273"/>
      <c r="AG53" s="273"/>
      <c r="AH53" s="273"/>
      <c r="AI53" s="165"/>
      <c r="AJ53" s="167"/>
    </row>
    <row r="54" spans="1:36">
      <c r="A54" s="192" t="s">
        <v>705</v>
      </c>
      <c r="B54" s="191"/>
      <c r="C54" s="273"/>
      <c r="D54" s="273"/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  <c r="AA54" s="273"/>
      <c r="AB54" s="273"/>
      <c r="AC54" s="273"/>
      <c r="AD54" s="273"/>
      <c r="AE54" s="273"/>
      <c r="AF54" s="273"/>
      <c r="AG54" s="273"/>
      <c r="AH54" s="273"/>
      <c r="AI54" s="165"/>
      <c r="AJ54" s="167"/>
    </row>
    <row r="55" spans="1:36">
      <c r="A55" s="192" t="s">
        <v>613</v>
      </c>
      <c r="B55" s="191"/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3">
        <v>30000000</v>
      </c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  <c r="AF55" s="273"/>
      <c r="AG55" s="273"/>
      <c r="AH55" s="273"/>
      <c r="AI55" s="165"/>
      <c r="AJ55" s="167"/>
    </row>
    <row r="56" spans="1:36">
      <c r="A56" s="192" t="s">
        <v>119</v>
      </c>
      <c r="B56" s="191"/>
      <c r="C56" s="175"/>
      <c r="D56" s="175"/>
      <c r="E56" s="175"/>
      <c r="F56" s="175"/>
      <c r="G56" s="175"/>
      <c r="H56" s="175"/>
      <c r="I56" s="175"/>
      <c r="J56" s="175"/>
      <c r="K56" s="175">
        <v>3000000000</v>
      </c>
      <c r="L56" s="175"/>
      <c r="M56" s="175"/>
      <c r="N56" s="175"/>
      <c r="O56" s="175"/>
      <c r="P56" s="175"/>
      <c r="Q56" s="175"/>
      <c r="R56" s="175"/>
      <c r="S56" s="175"/>
      <c r="T56" s="172"/>
      <c r="U56" s="175"/>
      <c r="V56" s="175"/>
      <c r="W56" s="175"/>
      <c r="X56" s="172"/>
      <c r="Y56" s="175"/>
      <c r="Z56" s="175"/>
      <c r="AA56" s="175"/>
      <c r="AB56" s="175"/>
      <c r="AC56" s="175"/>
      <c r="AD56" s="175">
        <f>5500000000+6100000000</f>
        <v>11600000000</v>
      </c>
      <c r="AE56" s="175">
        <f>5500000000+6100000000</f>
        <v>11600000000</v>
      </c>
      <c r="AF56" s="175"/>
      <c r="AG56" s="175"/>
      <c r="AH56" s="175">
        <v>1240000000</v>
      </c>
      <c r="AI56" s="165"/>
      <c r="AJ56" s="175"/>
    </row>
    <row r="57" spans="1:36">
      <c r="A57" s="195" t="s">
        <v>32</v>
      </c>
      <c r="B57" s="196"/>
      <c r="C57" s="197">
        <f>SUM(C7:C56)</f>
        <v>153807731</v>
      </c>
      <c r="D57" s="197">
        <f t="shared" ref="D57:AI57" si="0">SUM(D7:D56)</f>
        <v>115947720</v>
      </c>
      <c r="E57" s="197">
        <f t="shared" si="0"/>
        <v>0</v>
      </c>
      <c r="F57" s="197">
        <f t="shared" si="0"/>
        <v>0</v>
      </c>
      <c r="G57" s="197">
        <f t="shared" si="0"/>
        <v>1623151731</v>
      </c>
      <c r="H57" s="197">
        <f t="shared" si="0"/>
        <v>137810509</v>
      </c>
      <c r="I57" s="197">
        <f t="shared" si="0"/>
        <v>147665754</v>
      </c>
      <c r="J57" s="197">
        <f t="shared" si="0"/>
        <v>107905356</v>
      </c>
      <c r="K57" s="197">
        <f>SUM(K7:K56)</f>
        <v>5452225748</v>
      </c>
      <c r="L57" s="197">
        <f t="shared" si="0"/>
        <v>0</v>
      </c>
      <c r="M57" s="197">
        <f t="shared" si="0"/>
        <v>0</v>
      </c>
      <c r="N57" s="197">
        <f>SUM(N7:N56)</f>
        <v>2611715351</v>
      </c>
      <c r="O57" s="197">
        <f t="shared" si="0"/>
        <v>35239472</v>
      </c>
      <c r="P57" s="197">
        <f t="shared" si="0"/>
        <v>581474951</v>
      </c>
      <c r="Q57" s="197">
        <f t="shared" si="0"/>
        <v>2500000000</v>
      </c>
      <c r="R57" s="197">
        <f t="shared" si="0"/>
        <v>0</v>
      </c>
      <c r="S57" s="197">
        <f t="shared" si="0"/>
        <v>0</v>
      </c>
      <c r="T57" s="197">
        <f>SUM(T7:T56)</f>
        <v>0</v>
      </c>
      <c r="U57" s="197">
        <f t="shared" si="0"/>
        <v>1871693230</v>
      </c>
      <c r="V57" s="197">
        <f t="shared" si="0"/>
        <v>0</v>
      </c>
      <c r="W57" s="197">
        <f t="shared" si="0"/>
        <v>55965211</v>
      </c>
      <c r="X57" s="197">
        <f>SUM(X7:X56)</f>
        <v>745871243</v>
      </c>
      <c r="Y57" s="197">
        <f t="shared" si="0"/>
        <v>78609882</v>
      </c>
      <c r="Z57" s="197">
        <f t="shared" si="0"/>
        <v>0</v>
      </c>
      <c r="AA57" s="197">
        <f t="shared" si="0"/>
        <v>0</v>
      </c>
      <c r="AB57" s="197">
        <f t="shared" si="0"/>
        <v>239989693</v>
      </c>
      <c r="AC57" s="197">
        <f t="shared" si="0"/>
        <v>117787700</v>
      </c>
      <c r="AD57" s="197">
        <f t="shared" si="0"/>
        <v>11735277920</v>
      </c>
      <c r="AE57" s="197">
        <f t="shared" si="0"/>
        <v>11866610794</v>
      </c>
      <c r="AF57" s="197">
        <f t="shared" si="0"/>
        <v>151814150</v>
      </c>
      <c r="AG57" s="197">
        <f t="shared" si="0"/>
        <v>0</v>
      </c>
      <c r="AH57" s="197">
        <f t="shared" si="0"/>
        <v>5056569229</v>
      </c>
      <c r="AI57" s="197">
        <f t="shared" si="0"/>
        <v>0</v>
      </c>
    </row>
    <row r="58" spans="1:36">
      <c r="A58" s="199"/>
      <c r="B58" s="162"/>
      <c r="C58" s="190">
        <v>0</v>
      </c>
      <c r="D58" s="190">
        <v>0</v>
      </c>
      <c r="E58" s="190">
        <v>0</v>
      </c>
      <c r="F58" s="165"/>
      <c r="G58" s="165"/>
      <c r="H58" s="165"/>
      <c r="I58" s="165"/>
      <c r="J58" s="200"/>
      <c r="K58" s="200"/>
      <c r="L58" s="165"/>
      <c r="M58" s="165"/>
      <c r="N58" s="165"/>
      <c r="O58" s="200"/>
      <c r="P58" s="165"/>
      <c r="Q58" s="165"/>
      <c r="R58" s="165"/>
      <c r="S58" s="165"/>
      <c r="T58" s="165"/>
      <c r="U58" s="165"/>
      <c r="V58" s="165"/>
      <c r="W58" s="190">
        <v>0</v>
      </c>
      <c r="X58" s="190">
        <v>0</v>
      </c>
      <c r="Y58" s="190">
        <v>0</v>
      </c>
      <c r="Z58" s="190">
        <v>0</v>
      </c>
      <c r="AA58" s="190">
        <v>0</v>
      </c>
      <c r="AB58" s="190">
        <v>0</v>
      </c>
      <c r="AC58" s="165"/>
      <c r="AD58" s="165"/>
      <c r="AE58" s="165"/>
      <c r="AF58" s="165"/>
      <c r="AG58" s="165"/>
      <c r="AH58" s="165"/>
      <c r="AI58" s="201"/>
      <c r="AJ58" s="154"/>
    </row>
    <row r="59" spans="1:36">
      <c r="A59" s="202" t="s">
        <v>33</v>
      </c>
      <c r="B59" s="162"/>
      <c r="C59" s="165"/>
      <c r="D59" s="200"/>
      <c r="E59" s="200"/>
      <c r="F59" s="165"/>
      <c r="G59" s="165"/>
      <c r="H59" s="165"/>
      <c r="I59" s="165"/>
      <c r="J59" s="200"/>
      <c r="K59" s="200"/>
      <c r="L59" s="165"/>
      <c r="M59" s="165"/>
      <c r="N59" s="165"/>
      <c r="O59" s="200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200"/>
      <c r="AB59" s="200"/>
      <c r="AC59" s="165"/>
      <c r="AD59" s="165"/>
      <c r="AE59" s="165"/>
      <c r="AF59" s="165"/>
      <c r="AG59" s="165"/>
      <c r="AH59" s="165"/>
      <c r="AI59" s="201">
        <f t="shared" ref="AI59:AI84" si="1">SUM(B59:AG59)</f>
        <v>0</v>
      </c>
      <c r="AJ59" s="154"/>
    </row>
    <row r="60" spans="1:36">
      <c r="A60" s="203" t="s">
        <v>34</v>
      </c>
      <c r="B60" s="20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208"/>
      <c r="P60" s="164"/>
      <c r="Q60" s="165">
        <v>4629789500</v>
      </c>
      <c r="R60" s="164"/>
      <c r="S60" s="164"/>
      <c r="T60" s="164"/>
      <c r="U60" s="306"/>
      <c r="V60" s="164"/>
      <c r="W60" s="164"/>
      <c r="X60" s="164">
        <v>1056274545</v>
      </c>
      <c r="Y60" s="164"/>
      <c r="Z60" s="164"/>
      <c r="AA60" s="164"/>
      <c r="AB60" s="164"/>
      <c r="AC60" s="164"/>
      <c r="AD60" s="164"/>
      <c r="AE60" s="164">
        <v>876629457</v>
      </c>
      <c r="AF60" s="164"/>
      <c r="AG60" s="164"/>
      <c r="AH60" s="190"/>
      <c r="AI60" s="201">
        <f t="shared" si="1"/>
        <v>6562693502</v>
      </c>
      <c r="AJ60" s="173"/>
    </row>
    <row r="61" spans="1:36">
      <c r="A61" s="203" t="s">
        <v>34</v>
      </c>
      <c r="B61" s="20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208"/>
      <c r="P61" s="164"/>
      <c r="Q61" s="164"/>
      <c r="R61" s="164"/>
      <c r="S61" s="164"/>
      <c r="T61" s="164"/>
      <c r="U61" s="306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90"/>
      <c r="AI61" s="201"/>
      <c r="AJ61" s="173"/>
    </row>
    <row r="62" spans="1:36">
      <c r="A62" s="203" t="s">
        <v>198</v>
      </c>
      <c r="B62" s="204"/>
      <c r="C62" s="164"/>
      <c r="D62" s="164"/>
      <c r="E62" s="164"/>
      <c r="F62" s="164"/>
      <c r="G62" s="164"/>
      <c r="H62" s="190"/>
      <c r="I62" s="164"/>
      <c r="J62" s="164"/>
      <c r="K62" s="164"/>
      <c r="L62" s="164"/>
      <c r="M62" s="164"/>
      <c r="N62" s="164"/>
      <c r="O62" s="208"/>
      <c r="P62" s="164"/>
      <c r="Q62" s="164">
        <v>24211398</v>
      </c>
      <c r="R62" s="164"/>
      <c r="S62" s="164"/>
      <c r="T62" s="164"/>
      <c r="U62" s="306"/>
      <c r="V62" s="164"/>
      <c r="W62" s="164"/>
      <c r="X62" s="164">
        <v>5965061</v>
      </c>
      <c r="Y62" s="164"/>
      <c r="Z62" s="164"/>
      <c r="AA62" s="164"/>
      <c r="AB62" s="164"/>
      <c r="AC62" s="164"/>
      <c r="AD62" s="164"/>
      <c r="AE62" s="164">
        <v>4870164</v>
      </c>
      <c r="AF62" s="164"/>
      <c r="AG62" s="164"/>
      <c r="AH62" s="190"/>
      <c r="AI62" s="201">
        <f t="shared" si="1"/>
        <v>35046623</v>
      </c>
      <c r="AJ62" s="173"/>
    </row>
    <row r="63" spans="1:36">
      <c r="A63" s="203" t="s">
        <v>227</v>
      </c>
      <c r="B63" s="204"/>
      <c r="C63" s="164">
        <v>4008344534</v>
      </c>
      <c r="D63" s="164"/>
      <c r="E63" s="164"/>
      <c r="F63" s="164"/>
      <c r="G63" s="164"/>
      <c r="H63" s="306">
        <v>4595561499</v>
      </c>
      <c r="I63" s="164"/>
      <c r="J63" s="164"/>
      <c r="K63" s="164"/>
      <c r="L63" s="164"/>
      <c r="M63" s="164"/>
      <c r="N63" s="164"/>
      <c r="O63" s="208"/>
      <c r="P63" s="164"/>
      <c r="Q63" s="164"/>
      <c r="R63" s="164"/>
      <c r="S63" s="164"/>
      <c r="T63" s="164"/>
      <c r="U63" s="306"/>
      <c r="V63" s="164"/>
      <c r="W63" s="164"/>
      <c r="X63" s="164"/>
      <c r="Y63" s="164"/>
      <c r="Z63" s="164"/>
      <c r="AA63" s="164"/>
      <c r="AB63" s="164"/>
      <c r="AC63" s="164"/>
      <c r="AD63" s="164"/>
      <c r="AE63" s="306"/>
      <c r="AF63" s="164"/>
      <c r="AG63" s="164"/>
      <c r="AH63" s="190"/>
      <c r="AI63" s="201">
        <f t="shared" si="1"/>
        <v>8603906033</v>
      </c>
      <c r="AJ63" s="173"/>
    </row>
    <row r="64" spans="1:36">
      <c r="A64" s="203" t="s">
        <v>227</v>
      </c>
      <c r="B64" s="204"/>
      <c r="C64" s="164">
        <v>4699251400</v>
      </c>
      <c r="D64" s="164"/>
      <c r="E64" s="164"/>
      <c r="F64" s="164"/>
      <c r="G64" s="164"/>
      <c r="H64" s="306">
        <v>2015324774</v>
      </c>
      <c r="I64" s="164"/>
      <c r="J64" s="164"/>
      <c r="K64" s="164"/>
      <c r="L64" s="164"/>
      <c r="M64" s="164"/>
      <c r="N64" s="164"/>
      <c r="O64" s="208"/>
      <c r="P64" s="164"/>
      <c r="Q64" s="164"/>
      <c r="R64" s="164"/>
      <c r="S64" s="164"/>
      <c r="T64" s="164"/>
      <c r="U64" s="306"/>
      <c r="V64" s="164"/>
      <c r="W64" s="164"/>
      <c r="X64" s="164"/>
      <c r="Y64" s="164"/>
      <c r="Z64" s="164"/>
      <c r="AA64" s="164"/>
      <c r="AB64" s="164"/>
      <c r="AC64" s="164"/>
      <c r="AD64" s="164"/>
      <c r="AE64" s="306"/>
      <c r="AF64" s="164"/>
      <c r="AG64" s="164"/>
      <c r="AH64" s="190"/>
      <c r="AI64" s="201"/>
      <c r="AJ64" s="173"/>
    </row>
    <row r="65" spans="1:38">
      <c r="A65" s="203" t="s">
        <v>227</v>
      </c>
      <c r="B65" s="204"/>
      <c r="C65" s="164">
        <v>2798463194</v>
      </c>
      <c r="D65" s="164"/>
      <c r="E65" s="164"/>
      <c r="F65" s="164"/>
      <c r="G65" s="164"/>
      <c r="H65" s="306"/>
      <c r="I65" s="164"/>
      <c r="J65" s="164"/>
      <c r="K65" s="164"/>
      <c r="L65" s="164"/>
      <c r="M65" s="164"/>
      <c r="N65" s="164"/>
      <c r="O65" s="208"/>
      <c r="P65" s="164"/>
      <c r="Q65" s="164"/>
      <c r="R65" s="164"/>
      <c r="S65" s="164"/>
      <c r="T65" s="164"/>
      <c r="U65" s="306"/>
      <c r="V65" s="164"/>
      <c r="W65" s="164"/>
      <c r="X65" s="164"/>
      <c r="Y65" s="164"/>
      <c r="Z65" s="164"/>
      <c r="AA65" s="164"/>
      <c r="AB65" s="164"/>
      <c r="AC65" s="164"/>
      <c r="AD65" s="164"/>
      <c r="AE65" s="306"/>
      <c r="AF65" s="164"/>
      <c r="AG65" s="164"/>
      <c r="AH65" s="190"/>
      <c r="AI65" s="201"/>
      <c r="AJ65" s="173"/>
    </row>
    <row r="66" spans="1:38">
      <c r="A66" s="203" t="s">
        <v>227</v>
      </c>
      <c r="B66" s="204"/>
      <c r="C66" s="164"/>
      <c r="D66" s="164"/>
      <c r="E66" s="164"/>
      <c r="F66" s="164"/>
      <c r="G66" s="164"/>
      <c r="H66" s="306"/>
      <c r="I66" s="164"/>
      <c r="J66" s="164"/>
      <c r="K66" s="164"/>
      <c r="L66" s="164"/>
      <c r="M66" s="164"/>
      <c r="N66" s="164"/>
      <c r="O66" s="208"/>
      <c r="P66" s="164"/>
      <c r="Q66" s="164"/>
      <c r="R66" s="164"/>
      <c r="S66" s="164"/>
      <c r="T66" s="164"/>
      <c r="U66" s="306"/>
      <c r="V66" s="164"/>
      <c r="W66" s="164"/>
      <c r="X66" s="164"/>
      <c r="Y66" s="164"/>
      <c r="Z66" s="164"/>
      <c r="AA66" s="164"/>
      <c r="AB66" s="164"/>
      <c r="AC66" s="164"/>
      <c r="AD66" s="164"/>
      <c r="AE66" s="306"/>
      <c r="AF66" s="164"/>
      <c r="AG66" s="164"/>
      <c r="AH66" s="190"/>
      <c r="AI66" s="201"/>
      <c r="AJ66" s="173"/>
    </row>
    <row r="67" spans="1:38">
      <c r="A67" s="203" t="s">
        <v>227</v>
      </c>
      <c r="B67" s="204"/>
      <c r="C67" s="164"/>
      <c r="D67" s="164"/>
      <c r="E67" s="164"/>
      <c r="F67" s="164"/>
      <c r="G67" s="164"/>
      <c r="H67" s="306"/>
      <c r="I67" s="164"/>
      <c r="J67" s="164"/>
      <c r="K67" s="164"/>
      <c r="L67" s="164"/>
      <c r="M67" s="164"/>
      <c r="N67" s="164"/>
      <c r="O67" s="208"/>
      <c r="P67" s="164"/>
      <c r="Q67" s="164"/>
      <c r="R67" s="164"/>
      <c r="S67" s="164"/>
      <c r="T67" s="164"/>
      <c r="U67" s="306"/>
      <c r="V67" s="164"/>
      <c r="W67" s="164"/>
      <c r="X67" s="164"/>
      <c r="Y67" s="164"/>
      <c r="Z67" s="164"/>
      <c r="AA67" s="164"/>
      <c r="AB67" s="164"/>
      <c r="AC67" s="164"/>
      <c r="AD67" s="164"/>
      <c r="AE67" s="306"/>
      <c r="AF67" s="164"/>
      <c r="AG67" s="164"/>
      <c r="AH67" s="190"/>
      <c r="AI67" s="201"/>
      <c r="AJ67" s="173"/>
    </row>
    <row r="68" spans="1:38">
      <c r="A68" s="203" t="s">
        <v>227</v>
      </c>
      <c r="B68" s="204"/>
      <c r="C68" s="164"/>
      <c r="D68" s="164"/>
      <c r="E68" s="164"/>
      <c r="F68" s="164"/>
      <c r="G68" s="164"/>
      <c r="H68" s="306"/>
      <c r="I68" s="164"/>
      <c r="J68" s="164"/>
      <c r="K68" s="164"/>
      <c r="L68" s="164"/>
      <c r="M68" s="164"/>
      <c r="N68" s="164"/>
      <c r="O68" s="208"/>
      <c r="P68" s="164"/>
      <c r="Q68" s="164"/>
      <c r="R68" s="164"/>
      <c r="S68" s="164"/>
      <c r="T68" s="164"/>
      <c r="U68" s="306"/>
      <c r="V68" s="164"/>
      <c r="W68" s="164"/>
      <c r="X68" s="164"/>
      <c r="Y68" s="164"/>
      <c r="Z68" s="164"/>
      <c r="AA68" s="164"/>
      <c r="AB68" s="164"/>
      <c r="AC68" s="164"/>
      <c r="AD68" s="164"/>
      <c r="AE68" s="306"/>
      <c r="AF68" s="164"/>
      <c r="AG68" s="164"/>
      <c r="AH68" s="190"/>
      <c r="AI68" s="201"/>
      <c r="AJ68" s="173"/>
    </row>
    <row r="69" spans="1:38">
      <c r="A69" s="203" t="s">
        <v>769</v>
      </c>
      <c r="B69" s="204"/>
      <c r="C69" s="164">
        <v>68926337</v>
      </c>
      <c r="D69" s="164"/>
      <c r="E69" s="164"/>
      <c r="F69" s="164"/>
      <c r="G69" s="172"/>
      <c r="H69" s="306">
        <v>34693499</v>
      </c>
      <c r="I69" s="164"/>
      <c r="J69" s="164"/>
      <c r="K69" s="164"/>
      <c r="L69" s="164"/>
      <c r="M69" s="164"/>
      <c r="N69" s="164"/>
      <c r="O69" s="208"/>
      <c r="P69" s="164"/>
      <c r="Q69" s="171"/>
      <c r="R69" s="164"/>
      <c r="S69" s="164"/>
      <c r="T69" s="164"/>
      <c r="U69" s="306"/>
      <c r="V69" s="164"/>
      <c r="W69" s="164"/>
      <c r="X69" s="164"/>
      <c r="Y69" s="164"/>
      <c r="Z69" s="164"/>
      <c r="AA69" s="164"/>
      <c r="AB69" s="164">
        <v>61714628</v>
      </c>
      <c r="AC69" s="164"/>
      <c r="AD69" s="172"/>
      <c r="AE69" s="306"/>
      <c r="AF69" s="208"/>
      <c r="AG69" s="164"/>
      <c r="AH69" s="190"/>
      <c r="AI69" s="201">
        <f t="shared" si="1"/>
        <v>165334464</v>
      </c>
      <c r="AJ69" s="173"/>
      <c r="AL69" s="150" t="s">
        <v>253</v>
      </c>
    </row>
    <row r="70" spans="1:38">
      <c r="A70" s="203" t="s">
        <v>228</v>
      </c>
      <c r="B70" s="204"/>
      <c r="C70" s="164"/>
      <c r="D70" s="164"/>
      <c r="E70" s="164"/>
      <c r="F70" s="164"/>
      <c r="G70" s="190"/>
      <c r="H70" s="164"/>
      <c r="I70" s="164"/>
      <c r="J70" s="164"/>
      <c r="K70" s="164"/>
      <c r="L70" s="308"/>
      <c r="M70" s="164"/>
      <c r="N70" s="164"/>
      <c r="O70" s="208"/>
      <c r="P70" s="208"/>
      <c r="Q70" s="164"/>
      <c r="R70" s="164"/>
      <c r="S70" s="164"/>
      <c r="T70" s="164"/>
      <c r="U70" s="309"/>
      <c r="V70" s="190"/>
      <c r="W70" s="164"/>
      <c r="X70" s="164"/>
      <c r="Y70" s="164"/>
      <c r="Z70" s="164"/>
      <c r="AA70" s="164"/>
      <c r="AB70" s="164"/>
      <c r="AC70" s="164"/>
      <c r="AD70" s="164"/>
      <c r="AE70" s="164"/>
      <c r="AF70" s="208"/>
      <c r="AG70" s="164"/>
      <c r="AH70" s="190"/>
      <c r="AI70" s="201">
        <f t="shared" si="1"/>
        <v>0</v>
      </c>
      <c r="AJ70" s="173"/>
    </row>
    <row r="71" spans="1:38">
      <c r="A71" s="203" t="s">
        <v>200</v>
      </c>
      <c r="B71" s="204"/>
      <c r="C71" s="164"/>
      <c r="D71" s="164"/>
      <c r="E71" s="164"/>
      <c r="F71" s="164"/>
      <c r="G71" s="190"/>
      <c r="H71" s="164"/>
      <c r="I71" s="164"/>
      <c r="J71" s="164"/>
      <c r="K71" s="164"/>
      <c r="L71" s="308"/>
      <c r="M71" s="164"/>
      <c r="N71" s="164"/>
      <c r="O71" s="208"/>
      <c r="P71" s="208"/>
      <c r="Q71" s="164"/>
      <c r="R71" s="164"/>
      <c r="S71" s="164"/>
      <c r="T71" s="164"/>
      <c r="U71" s="208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208"/>
      <c r="AG71" s="164"/>
      <c r="AH71" s="190"/>
      <c r="AI71" s="201">
        <f t="shared" si="1"/>
        <v>0</v>
      </c>
      <c r="AJ71" s="173"/>
    </row>
    <row r="72" spans="1:38">
      <c r="A72" s="203" t="s">
        <v>36</v>
      </c>
      <c r="B72" s="204"/>
      <c r="C72" s="164"/>
      <c r="D72" s="164"/>
      <c r="E72" s="164"/>
      <c r="F72" s="164"/>
      <c r="G72" s="190"/>
      <c r="H72" s="164"/>
      <c r="I72" s="164"/>
      <c r="J72" s="164"/>
      <c r="K72" s="164"/>
      <c r="L72" s="308"/>
      <c r="M72" s="164"/>
      <c r="N72" s="164"/>
      <c r="O72" s="208"/>
      <c r="P72" s="208"/>
      <c r="Q72" s="164">
        <v>3448692211</v>
      </c>
      <c r="R72" s="164"/>
      <c r="S72" s="164"/>
      <c r="T72" s="164"/>
      <c r="U72" s="208"/>
      <c r="V72" s="164"/>
      <c r="W72" s="164"/>
      <c r="X72" s="164">
        <v>930761355</v>
      </c>
      <c r="Y72" s="164"/>
      <c r="Z72" s="164"/>
      <c r="AA72" s="164"/>
      <c r="AB72" s="164"/>
      <c r="AC72" s="164"/>
      <c r="AD72" s="164"/>
      <c r="AE72" s="164">
        <v>2638200661</v>
      </c>
      <c r="AF72" s="208"/>
      <c r="AG72" s="164"/>
      <c r="AH72" s="190"/>
      <c r="AI72" s="201">
        <f t="shared" si="1"/>
        <v>7017654227</v>
      </c>
      <c r="AJ72" s="173"/>
    </row>
    <row r="73" spans="1:38">
      <c r="A73" s="203" t="s">
        <v>36</v>
      </c>
      <c r="B73" s="204"/>
      <c r="C73" s="164"/>
      <c r="D73" s="164"/>
      <c r="E73" s="164"/>
      <c r="F73" s="164"/>
      <c r="G73" s="190"/>
      <c r="H73" s="164"/>
      <c r="I73" s="164"/>
      <c r="J73" s="164"/>
      <c r="K73" s="164"/>
      <c r="L73" s="308"/>
      <c r="M73" s="164"/>
      <c r="N73" s="164"/>
      <c r="O73" s="208"/>
      <c r="P73" s="208"/>
      <c r="Q73" s="164">
        <v>2310084700</v>
      </c>
      <c r="R73" s="164"/>
      <c r="S73" s="164"/>
      <c r="T73" s="164"/>
      <c r="U73" s="208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208"/>
      <c r="AG73" s="164"/>
      <c r="AH73" s="190"/>
      <c r="AI73" s="201"/>
      <c r="AJ73" s="173"/>
    </row>
    <row r="74" spans="1:38">
      <c r="A74" s="203" t="s">
        <v>242</v>
      </c>
      <c r="B74" s="204"/>
      <c r="C74" s="164"/>
      <c r="D74" s="164"/>
      <c r="E74" s="164"/>
      <c r="F74" s="164"/>
      <c r="G74" s="190"/>
      <c r="H74" s="164"/>
      <c r="I74" s="164"/>
      <c r="J74" s="164"/>
      <c r="K74" s="164"/>
      <c r="L74" s="308"/>
      <c r="M74" s="164"/>
      <c r="N74" s="164"/>
      <c r="O74" s="208"/>
      <c r="P74" s="208"/>
      <c r="Q74" s="164">
        <v>30966501</v>
      </c>
      <c r="R74" s="164"/>
      <c r="S74" s="164"/>
      <c r="T74" s="208"/>
      <c r="U74" s="208"/>
      <c r="V74" s="164"/>
      <c r="W74" s="164"/>
      <c r="X74" s="164">
        <v>5170896</v>
      </c>
      <c r="Y74" s="164"/>
      <c r="Z74" s="164"/>
      <c r="AA74" s="164"/>
      <c r="AB74" s="164"/>
      <c r="AC74" s="164"/>
      <c r="AD74" s="164"/>
      <c r="AE74" s="164">
        <v>13609895</v>
      </c>
      <c r="AF74" s="208"/>
      <c r="AG74" s="164"/>
      <c r="AH74" s="190"/>
      <c r="AI74" s="201">
        <f t="shared" si="1"/>
        <v>49747292</v>
      </c>
      <c r="AJ74" s="173"/>
    </row>
    <row r="75" spans="1:38">
      <c r="A75" s="162" t="s">
        <v>53</v>
      </c>
      <c r="B75" s="204"/>
      <c r="C75" s="164"/>
      <c r="D75" s="164"/>
      <c r="E75" s="164"/>
      <c r="F75" s="164"/>
      <c r="G75" s="164"/>
      <c r="H75" s="164"/>
      <c r="I75" s="164"/>
      <c r="J75" s="164"/>
      <c r="K75" s="164"/>
      <c r="L75" s="308"/>
      <c r="M75" s="164"/>
      <c r="N75" s="172"/>
      <c r="O75" s="172"/>
      <c r="P75" s="172"/>
      <c r="Q75" s="164"/>
      <c r="R75" s="164"/>
      <c r="S75" s="243"/>
      <c r="T75" s="208"/>
      <c r="U75" s="171"/>
      <c r="V75" s="177"/>
      <c r="W75" s="164"/>
      <c r="X75" s="171" t="s">
        <v>89</v>
      </c>
      <c r="Y75" s="171"/>
      <c r="Z75" s="164"/>
      <c r="AA75" s="164"/>
      <c r="AB75" s="164"/>
      <c r="AC75" s="164"/>
      <c r="AD75" s="164"/>
      <c r="AE75" s="164"/>
      <c r="AF75" s="208"/>
      <c r="AG75" s="164"/>
      <c r="AH75" s="164"/>
      <c r="AI75" s="201">
        <f t="shared" si="1"/>
        <v>0</v>
      </c>
      <c r="AJ75" s="173"/>
    </row>
    <row r="76" spans="1:38">
      <c r="A76" s="162" t="s">
        <v>54</v>
      </c>
      <c r="B76" s="204"/>
      <c r="C76" s="172"/>
      <c r="D76" s="164"/>
      <c r="E76" s="164"/>
      <c r="F76" s="164"/>
      <c r="G76" s="164"/>
      <c r="H76" s="164"/>
      <c r="I76" s="164"/>
      <c r="J76" s="164"/>
      <c r="K76" s="164"/>
      <c r="L76" s="310"/>
      <c r="M76" s="164"/>
      <c r="N76" s="164"/>
      <c r="O76" s="208"/>
      <c r="P76" s="172"/>
      <c r="Q76" s="164"/>
      <c r="R76" s="164"/>
      <c r="S76" s="164"/>
      <c r="T76" s="208"/>
      <c r="U76" s="208"/>
      <c r="V76" s="177"/>
      <c r="W76" s="172"/>
      <c r="X76" s="170"/>
      <c r="Y76" s="170"/>
      <c r="Z76" s="172"/>
      <c r="AA76" s="164"/>
      <c r="AB76" s="164"/>
      <c r="AC76" s="164"/>
      <c r="AD76" s="164"/>
      <c r="AE76" s="164"/>
      <c r="AF76" s="208"/>
      <c r="AG76" s="164"/>
      <c r="AH76" s="190"/>
      <c r="AI76" s="201">
        <f t="shared" si="1"/>
        <v>0</v>
      </c>
      <c r="AJ76" s="173">
        <v>1</v>
      </c>
    </row>
    <row r="77" spans="1:38">
      <c r="A77" s="162" t="s">
        <v>203</v>
      </c>
      <c r="B77" s="204"/>
      <c r="C77" s="172"/>
      <c r="D77" s="164"/>
      <c r="E77" s="164"/>
      <c r="F77" s="164"/>
      <c r="G77" s="164"/>
      <c r="H77" s="208"/>
      <c r="I77" s="208"/>
      <c r="J77" s="164"/>
      <c r="K77" s="164"/>
      <c r="L77" s="310"/>
      <c r="M77" s="164"/>
      <c r="N77" s="164"/>
      <c r="O77" s="208"/>
      <c r="P77" s="172"/>
      <c r="Q77" s="164"/>
      <c r="R77" s="164"/>
      <c r="S77" s="164"/>
      <c r="T77" s="208"/>
      <c r="U77" s="208"/>
      <c r="V77" s="171"/>
      <c r="W77" s="172"/>
      <c r="X77" s="170"/>
      <c r="Y77" s="170"/>
      <c r="Z77" s="172"/>
      <c r="AA77" s="164"/>
      <c r="AB77" s="164"/>
      <c r="AC77" s="164"/>
      <c r="AD77" s="164"/>
      <c r="AE77" s="208"/>
      <c r="AF77" s="208"/>
      <c r="AG77" s="164"/>
      <c r="AH77" s="190"/>
      <c r="AI77" s="201">
        <f t="shared" si="1"/>
        <v>0</v>
      </c>
      <c r="AJ77" s="173"/>
    </row>
    <row r="78" spans="1:38">
      <c r="A78" s="162" t="s">
        <v>37</v>
      </c>
      <c r="B78" s="204"/>
      <c r="C78" s="164"/>
      <c r="D78" s="171"/>
      <c r="E78" s="172"/>
      <c r="F78" s="172"/>
      <c r="G78" s="164"/>
      <c r="H78" s="172">
        <v>2710886749</v>
      </c>
      <c r="I78" s="172"/>
      <c r="J78" s="164"/>
      <c r="K78" s="164">
        <v>3193862779</v>
      </c>
      <c r="L78" s="310"/>
      <c r="M78" s="164"/>
      <c r="N78" s="164"/>
      <c r="O78" s="208"/>
      <c r="P78" s="171"/>
      <c r="Q78" s="164"/>
      <c r="R78" s="164"/>
      <c r="S78" s="164"/>
      <c r="T78" s="208"/>
      <c r="U78" s="208">
        <v>4361998432</v>
      </c>
      <c r="V78" s="208"/>
      <c r="W78" s="164"/>
      <c r="X78" s="171">
        <v>2616340628</v>
      </c>
      <c r="Y78" s="171">
        <v>1105532387</v>
      </c>
      <c r="Z78" s="164"/>
      <c r="AA78" s="171"/>
      <c r="AB78" s="172"/>
      <c r="AC78" s="172">
        <v>1470362390</v>
      </c>
      <c r="AD78" s="164"/>
      <c r="AE78" s="172"/>
      <c r="AF78" s="175"/>
      <c r="AG78" s="164"/>
      <c r="AH78" s="164"/>
      <c r="AI78" s="201">
        <f t="shared" si="1"/>
        <v>15458983365</v>
      </c>
      <c r="AJ78" s="173"/>
    </row>
    <row r="79" spans="1:38">
      <c r="A79" s="162" t="s">
        <v>38</v>
      </c>
      <c r="B79" s="204"/>
      <c r="C79" s="172"/>
      <c r="D79" s="171"/>
      <c r="E79" s="172"/>
      <c r="F79" s="164"/>
      <c r="G79" s="164"/>
      <c r="H79" s="208">
        <v>2871407101</v>
      </c>
      <c r="I79" s="208"/>
      <c r="J79" s="164"/>
      <c r="K79" s="172"/>
      <c r="L79" s="310"/>
      <c r="M79" s="164"/>
      <c r="N79" s="172"/>
      <c r="O79" s="172"/>
      <c r="P79" s="208"/>
      <c r="Q79" s="177"/>
      <c r="R79" s="171"/>
      <c r="S79" s="164"/>
      <c r="T79" s="171"/>
      <c r="U79" s="208"/>
      <c r="V79" s="208"/>
      <c r="W79" s="172"/>
      <c r="X79" s="171"/>
      <c r="Y79" s="171"/>
      <c r="Z79" s="172"/>
      <c r="AA79" s="171"/>
      <c r="AB79" s="172"/>
      <c r="AC79" s="164"/>
      <c r="AD79" s="164"/>
      <c r="AE79" s="208"/>
      <c r="AF79" s="171"/>
      <c r="AG79" s="170"/>
      <c r="AH79" s="170"/>
      <c r="AI79" s="201">
        <f t="shared" si="1"/>
        <v>2871407101</v>
      </c>
      <c r="AJ79" s="173"/>
    </row>
    <row r="80" spans="1:38">
      <c r="A80" s="162" t="s">
        <v>540</v>
      </c>
      <c r="B80" s="204"/>
      <c r="C80" s="172">
        <v>86757997</v>
      </c>
      <c r="D80" s="171"/>
      <c r="E80" s="172"/>
      <c r="F80" s="164"/>
      <c r="G80" s="164"/>
      <c r="H80" s="208"/>
      <c r="I80" s="208"/>
      <c r="J80" s="164"/>
      <c r="K80" s="172"/>
      <c r="L80" s="208"/>
      <c r="M80" s="164"/>
      <c r="N80" s="177"/>
      <c r="O80" s="172"/>
      <c r="P80" s="208"/>
      <c r="Q80" s="177"/>
      <c r="R80" s="171"/>
      <c r="S80" s="164"/>
      <c r="T80" s="171"/>
      <c r="U80" s="208"/>
      <c r="V80" s="208"/>
      <c r="W80" s="172"/>
      <c r="X80" s="171"/>
      <c r="Y80" s="171"/>
      <c r="Z80" s="172"/>
      <c r="AA80" s="171"/>
      <c r="AB80" s="172"/>
      <c r="AC80" s="164"/>
      <c r="AD80" s="164"/>
      <c r="AE80" s="208"/>
      <c r="AF80" s="171"/>
      <c r="AG80" s="170"/>
      <c r="AH80" s="170"/>
      <c r="AI80" s="201">
        <f t="shared" si="1"/>
        <v>86757997</v>
      </c>
      <c r="AJ80" s="173"/>
    </row>
    <row r="81" spans="1:41">
      <c r="A81" s="162" t="s">
        <v>175</v>
      </c>
      <c r="B81" s="204"/>
      <c r="C81" s="172"/>
      <c r="D81" s="172"/>
      <c r="E81" s="172"/>
      <c r="F81" s="164"/>
      <c r="G81" s="172"/>
      <c r="H81" s="171">
        <v>4323752021</v>
      </c>
      <c r="I81" s="208"/>
      <c r="J81" s="172"/>
      <c r="K81" s="164">
        <v>3381745472</v>
      </c>
      <c r="L81" s="171"/>
      <c r="M81" s="164"/>
      <c r="N81" s="172"/>
      <c r="O81" s="172"/>
      <c r="P81" s="173"/>
      <c r="Q81" s="208"/>
      <c r="R81" s="171"/>
      <c r="S81" s="164"/>
      <c r="T81" s="164"/>
      <c r="U81" s="164">
        <v>3158442261</v>
      </c>
      <c r="V81" s="164"/>
      <c r="W81" s="172"/>
      <c r="X81" s="175"/>
      <c r="Y81" s="175"/>
      <c r="Z81" s="172"/>
      <c r="AA81" s="172"/>
      <c r="AB81" s="172"/>
      <c r="AC81" s="164">
        <v>3565790127</v>
      </c>
      <c r="AD81" s="172"/>
      <c r="AE81" s="171"/>
      <c r="AF81" s="171"/>
      <c r="AG81" s="171"/>
      <c r="AH81" s="170"/>
      <c r="AI81" s="201">
        <f t="shared" si="1"/>
        <v>14429729881</v>
      </c>
      <c r="AJ81" s="173"/>
    </row>
    <row r="82" spans="1:41">
      <c r="A82" s="162" t="s">
        <v>176</v>
      </c>
      <c r="B82" s="204"/>
      <c r="C82" s="208"/>
      <c r="D82" s="164"/>
      <c r="E82" s="172"/>
      <c r="F82" s="164"/>
      <c r="G82" s="164"/>
      <c r="H82" s="208"/>
      <c r="I82" s="208"/>
      <c r="J82" s="172"/>
      <c r="K82" s="172"/>
      <c r="L82" s="208"/>
      <c r="M82" s="164"/>
      <c r="N82" s="164"/>
      <c r="O82" s="172"/>
      <c r="P82" s="208"/>
      <c r="Q82" s="164"/>
      <c r="R82" s="306"/>
      <c r="S82" s="164"/>
      <c r="T82" s="172"/>
      <c r="U82" s="171">
        <v>2908756785</v>
      </c>
      <c r="V82" s="171"/>
      <c r="W82" s="164"/>
      <c r="X82" s="171"/>
      <c r="Y82" s="172"/>
      <c r="Z82" s="208"/>
      <c r="AA82" s="164"/>
      <c r="AB82" s="172"/>
      <c r="AC82" s="164">
        <v>3502468583</v>
      </c>
      <c r="AD82" s="164"/>
      <c r="AE82" s="208"/>
      <c r="AF82" s="171"/>
      <c r="AG82" s="164"/>
      <c r="AH82" s="164"/>
      <c r="AI82" s="201">
        <f t="shared" si="1"/>
        <v>6411225368</v>
      </c>
      <c r="AJ82" s="173"/>
    </row>
    <row r="83" spans="1:41">
      <c r="A83" s="162" t="s">
        <v>409</v>
      </c>
      <c r="B83" s="204"/>
      <c r="C83" s="171"/>
      <c r="D83" s="171"/>
      <c r="E83" s="172"/>
      <c r="F83" s="164"/>
      <c r="G83" s="164"/>
      <c r="H83" s="309"/>
      <c r="I83" s="208"/>
      <c r="J83" s="172"/>
      <c r="K83" s="172"/>
      <c r="L83" s="208"/>
      <c r="M83" s="164"/>
      <c r="N83" s="164"/>
      <c r="O83" s="172"/>
      <c r="P83" s="208"/>
      <c r="Q83" s="164"/>
      <c r="R83" s="306"/>
      <c r="S83" s="164"/>
      <c r="T83" s="172"/>
      <c r="U83" s="171"/>
      <c r="V83" s="171"/>
      <c r="W83" s="164"/>
      <c r="X83" s="171"/>
      <c r="Y83" s="171"/>
      <c r="Z83" s="171"/>
      <c r="AA83" s="171"/>
      <c r="AB83" s="172"/>
      <c r="AC83" s="164">
        <v>3359359976</v>
      </c>
      <c r="AD83" s="164"/>
      <c r="AE83" s="309"/>
      <c r="AF83" s="171"/>
      <c r="AG83" s="164"/>
      <c r="AH83" s="164"/>
      <c r="AI83" s="201"/>
      <c r="AJ83" s="173"/>
    </row>
    <row r="84" spans="1:41">
      <c r="A84" s="162" t="s">
        <v>202</v>
      </c>
      <c r="B84" s="204"/>
      <c r="C84" s="164">
        <v>79996984</v>
      </c>
      <c r="D84" s="164"/>
      <c r="E84" s="172"/>
      <c r="F84" s="164"/>
      <c r="G84" s="164"/>
      <c r="H84" s="306"/>
      <c r="I84" s="208"/>
      <c r="J84" s="172"/>
      <c r="K84" s="172"/>
      <c r="L84" s="208"/>
      <c r="M84" s="164"/>
      <c r="N84" s="164"/>
      <c r="O84" s="172"/>
      <c r="P84" s="208"/>
      <c r="Q84" s="164"/>
      <c r="R84" s="306"/>
      <c r="S84" s="164"/>
      <c r="T84" s="172"/>
      <c r="U84" s="171"/>
      <c r="V84" s="164"/>
      <c r="W84" s="164"/>
      <c r="X84" s="171"/>
      <c r="Y84" s="172"/>
      <c r="Z84" s="164"/>
      <c r="AA84" s="164"/>
      <c r="AB84" s="172"/>
      <c r="AC84" s="164"/>
      <c r="AD84" s="164"/>
      <c r="AE84" s="306"/>
      <c r="AF84" s="171"/>
      <c r="AG84" s="164"/>
      <c r="AH84" s="164"/>
      <c r="AI84" s="201">
        <f t="shared" si="1"/>
        <v>79996984</v>
      </c>
      <c r="AJ84" s="173"/>
    </row>
    <row r="85" spans="1:41">
      <c r="A85" s="211" t="s">
        <v>41</v>
      </c>
      <c r="B85" s="212"/>
      <c r="C85" s="213">
        <f>SUM(C60:C84)</f>
        <v>11741740446</v>
      </c>
      <c r="D85" s="213">
        <f t="shared" ref="D85:AI85" si="2">SUM(D60:D84)</f>
        <v>0</v>
      </c>
      <c r="E85" s="213">
        <f t="shared" si="2"/>
        <v>0</v>
      </c>
      <c r="F85" s="213">
        <f t="shared" si="2"/>
        <v>0</v>
      </c>
      <c r="G85" s="213">
        <f t="shared" si="2"/>
        <v>0</v>
      </c>
      <c r="H85" s="213">
        <f t="shared" si="2"/>
        <v>16551625643</v>
      </c>
      <c r="I85" s="213">
        <f t="shared" si="2"/>
        <v>0</v>
      </c>
      <c r="J85" s="213">
        <f t="shared" si="2"/>
        <v>0</v>
      </c>
      <c r="K85" s="213">
        <f>SUM(K60:K84)</f>
        <v>6575608251</v>
      </c>
      <c r="L85" s="213">
        <f t="shared" si="2"/>
        <v>0</v>
      </c>
      <c r="M85" s="213">
        <f t="shared" si="2"/>
        <v>0</v>
      </c>
      <c r="N85" s="213">
        <f>SUM(N60:N84)</f>
        <v>0</v>
      </c>
      <c r="O85" s="213">
        <f t="shared" si="2"/>
        <v>0</v>
      </c>
      <c r="P85" s="213">
        <f t="shared" si="2"/>
        <v>0</v>
      </c>
      <c r="Q85" s="213">
        <f t="shared" si="2"/>
        <v>10443744310</v>
      </c>
      <c r="R85" s="213">
        <f t="shared" si="2"/>
        <v>0</v>
      </c>
      <c r="S85" s="213">
        <f t="shared" si="2"/>
        <v>0</v>
      </c>
      <c r="T85" s="213">
        <f>SUM(T60:T84)</f>
        <v>0</v>
      </c>
      <c r="U85" s="213">
        <f t="shared" si="2"/>
        <v>10429197478</v>
      </c>
      <c r="V85" s="213">
        <f t="shared" si="2"/>
        <v>0</v>
      </c>
      <c r="W85" s="213">
        <f t="shared" si="2"/>
        <v>0</v>
      </c>
      <c r="X85" s="213">
        <f t="shared" si="2"/>
        <v>4614512485</v>
      </c>
      <c r="Y85" s="213">
        <f t="shared" si="2"/>
        <v>1105532387</v>
      </c>
      <c r="Z85" s="213">
        <f t="shared" si="2"/>
        <v>0</v>
      </c>
      <c r="AA85" s="213">
        <f t="shared" si="2"/>
        <v>0</v>
      </c>
      <c r="AB85" s="213">
        <f t="shared" si="2"/>
        <v>61714628</v>
      </c>
      <c r="AC85" s="213">
        <f t="shared" si="2"/>
        <v>11897981076</v>
      </c>
      <c r="AD85" s="213">
        <f t="shared" si="2"/>
        <v>0</v>
      </c>
      <c r="AE85" s="213">
        <f t="shared" si="2"/>
        <v>3533310177</v>
      </c>
      <c r="AF85" s="213">
        <f t="shared" si="2"/>
        <v>0</v>
      </c>
      <c r="AG85" s="213">
        <f t="shared" si="2"/>
        <v>0</v>
      </c>
      <c r="AH85" s="213">
        <f t="shared" si="2"/>
        <v>0</v>
      </c>
      <c r="AI85" s="213">
        <f t="shared" si="2"/>
        <v>61772482837</v>
      </c>
      <c r="AJ85" s="154"/>
    </row>
    <row r="86" spans="1:41">
      <c r="A86" s="393" t="s">
        <v>42</v>
      </c>
      <c r="B86" s="394"/>
      <c r="C86" s="215">
        <f t="shared" ref="C86:AG86" si="3">C57+C85</f>
        <v>11895548177</v>
      </c>
      <c r="D86" s="215">
        <f t="shared" si="3"/>
        <v>115947720</v>
      </c>
      <c r="E86" s="216">
        <f t="shared" si="3"/>
        <v>0</v>
      </c>
      <c r="F86" s="216">
        <f t="shared" si="3"/>
        <v>0</v>
      </c>
      <c r="G86" s="216">
        <f t="shared" si="3"/>
        <v>1623151731</v>
      </c>
      <c r="H86" s="216">
        <f t="shared" si="3"/>
        <v>16689436152</v>
      </c>
      <c r="I86" s="216">
        <f t="shared" si="3"/>
        <v>147665754</v>
      </c>
      <c r="J86" s="215">
        <f t="shared" si="3"/>
        <v>107905356</v>
      </c>
      <c r="K86" s="215">
        <f t="shared" si="3"/>
        <v>12027833999</v>
      </c>
      <c r="L86" s="216">
        <f t="shared" si="3"/>
        <v>0</v>
      </c>
      <c r="M86" s="216">
        <f t="shared" si="3"/>
        <v>0</v>
      </c>
      <c r="N86" s="216">
        <f t="shared" si="3"/>
        <v>2611715351</v>
      </c>
      <c r="O86" s="216">
        <f t="shared" si="3"/>
        <v>35239472</v>
      </c>
      <c r="P86" s="216">
        <f t="shared" si="3"/>
        <v>581474951</v>
      </c>
      <c r="Q86" s="216">
        <f t="shared" si="3"/>
        <v>12943744310</v>
      </c>
      <c r="R86" s="216">
        <f t="shared" si="3"/>
        <v>0</v>
      </c>
      <c r="S86" s="216">
        <f t="shared" si="3"/>
        <v>0</v>
      </c>
      <c r="T86" s="216">
        <f t="shared" si="3"/>
        <v>0</v>
      </c>
      <c r="U86" s="216">
        <f t="shared" si="3"/>
        <v>12300890708</v>
      </c>
      <c r="V86" s="216">
        <f t="shared" si="3"/>
        <v>0</v>
      </c>
      <c r="W86" s="216">
        <f t="shared" si="3"/>
        <v>55965211</v>
      </c>
      <c r="X86" s="216">
        <f t="shared" si="3"/>
        <v>5360383728</v>
      </c>
      <c r="Y86" s="216">
        <f t="shared" si="3"/>
        <v>1184142269</v>
      </c>
      <c r="Z86" s="216">
        <f t="shared" si="3"/>
        <v>0</v>
      </c>
      <c r="AA86" s="216">
        <f t="shared" si="3"/>
        <v>0</v>
      </c>
      <c r="AB86" s="216">
        <f t="shared" si="3"/>
        <v>301704321</v>
      </c>
      <c r="AC86" s="216">
        <f t="shared" si="3"/>
        <v>12015768776</v>
      </c>
      <c r="AD86" s="216">
        <f t="shared" si="3"/>
        <v>11735277920</v>
      </c>
      <c r="AE86" s="216">
        <f t="shared" si="3"/>
        <v>15399920971</v>
      </c>
      <c r="AF86" s="216">
        <f t="shared" si="3"/>
        <v>151814150</v>
      </c>
      <c r="AG86" s="216">
        <f t="shared" si="3"/>
        <v>0</v>
      </c>
      <c r="AH86" s="216"/>
      <c r="AI86" s="216">
        <f>SUM(C86:AG86)</f>
        <v>117285531027</v>
      </c>
    </row>
    <row r="88" spans="1:41">
      <c r="A88" s="150" t="s">
        <v>50</v>
      </c>
      <c r="C88" s="248">
        <v>27274272807</v>
      </c>
      <c r="D88" s="292"/>
      <c r="E88" s="248"/>
      <c r="F88" s="248"/>
      <c r="G88" s="248"/>
      <c r="H88" s="248">
        <v>18909392298</v>
      </c>
      <c r="I88" s="248"/>
      <c r="J88" s="248">
        <v>20532027064</v>
      </c>
      <c r="K88" s="292">
        <v>23491439155</v>
      </c>
      <c r="L88" s="248"/>
      <c r="M88" s="248"/>
      <c r="N88" s="248"/>
      <c r="O88" s="248"/>
      <c r="P88" s="248"/>
      <c r="Q88" s="248">
        <v>32368933702</v>
      </c>
      <c r="R88" s="248">
        <v>27000000000</v>
      </c>
      <c r="S88" s="248"/>
      <c r="T88" s="248"/>
      <c r="U88" s="248"/>
      <c r="V88" s="248"/>
      <c r="W88" s="248">
        <v>27171721245</v>
      </c>
      <c r="X88" s="248"/>
      <c r="Y88" s="248"/>
      <c r="Z88" s="248"/>
      <c r="AA88" s="248"/>
      <c r="AB88" s="293">
        <v>41235618913</v>
      </c>
      <c r="AC88" s="248">
        <v>43155592346</v>
      </c>
      <c r="AD88" s="248">
        <v>36776222213</v>
      </c>
      <c r="AE88" s="248">
        <v>39965178766</v>
      </c>
      <c r="AF88" s="248">
        <v>25875733257</v>
      </c>
      <c r="AG88" s="248"/>
      <c r="AH88" s="248"/>
      <c r="AI88" s="228"/>
      <c r="AJ88" s="228"/>
    </row>
    <row r="89" spans="1:41">
      <c r="A89" s="150" t="s">
        <v>139</v>
      </c>
      <c r="C89" s="294">
        <f>C88-C86</f>
        <v>15378724630</v>
      </c>
      <c r="D89" s="295"/>
      <c r="E89" s="296"/>
      <c r="F89" s="248"/>
      <c r="G89" s="296"/>
      <c r="H89" s="248">
        <f>H88-H86</f>
        <v>2219956146</v>
      </c>
      <c r="I89" s="296"/>
      <c r="J89" s="248">
        <f>J88-J86</f>
        <v>20424121708</v>
      </c>
      <c r="K89" s="297">
        <f>K88-K86</f>
        <v>11463605156</v>
      </c>
      <c r="L89" s="296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6">
        <f>W88-W86</f>
        <v>27115756034</v>
      </c>
      <c r="X89" s="248"/>
      <c r="Y89" s="296"/>
      <c r="Z89" s="248"/>
      <c r="AA89" s="248"/>
      <c r="AB89" s="293">
        <f>AB88-AB86</f>
        <v>40933914592</v>
      </c>
      <c r="AC89" s="296">
        <f>AC88-AC86</f>
        <v>31139823570</v>
      </c>
      <c r="AD89" s="296">
        <f>AD88-AD86</f>
        <v>25040944293</v>
      </c>
      <c r="AE89" s="296">
        <f>AE88-AE86</f>
        <v>24565257795</v>
      </c>
      <c r="AF89" s="296">
        <f>AF88-AF86</f>
        <v>25723919107</v>
      </c>
      <c r="AG89" s="296"/>
      <c r="AH89" s="296"/>
      <c r="AI89" s="296"/>
      <c r="AJ89" s="228"/>
    </row>
    <row r="90" spans="1:41">
      <c r="A90" s="150" t="s">
        <v>181</v>
      </c>
      <c r="C90" s="248"/>
      <c r="D90" s="295"/>
      <c r="E90" s="248"/>
      <c r="F90" s="248"/>
      <c r="G90" s="248"/>
      <c r="H90" s="248"/>
      <c r="I90" s="248"/>
      <c r="J90" s="248"/>
      <c r="K90" s="297"/>
      <c r="L90" s="248"/>
      <c r="M90" s="248"/>
      <c r="N90" s="248"/>
      <c r="O90" s="293"/>
      <c r="P90" s="248"/>
      <c r="Q90" s="248"/>
      <c r="R90" s="296"/>
      <c r="S90" s="248"/>
      <c r="T90" s="248"/>
      <c r="U90" s="248"/>
      <c r="V90" s="248"/>
      <c r="W90" s="248"/>
      <c r="X90" s="248"/>
      <c r="Y90" s="293"/>
      <c r="Z90" s="248"/>
      <c r="AA90" s="248"/>
      <c r="AB90" s="248"/>
      <c r="AC90" s="248"/>
      <c r="AD90" s="293"/>
      <c r="AE90" s="248"/>
      <c r="AF90" s="248"/>
      <c r="AG90" s="248"/>
      <c r="AH90" s="248"/>
      <c r="AI90" s="296"/>
      <c r="AJ90" s="228"/>
    </row>
    <row r="91" spans="1:41">
      <c r="A91" s="150" t="s">
        <v>654</v>
      </c>
      <c r="C91" s="248"/>
      <c r="D91" s="295"/>
      <c r="E91" s="248"/>
      <c r="F91" s="248"/>
      <c r="G91" s="248"/>
      <c r="H91" s="248"/>
      <c r="I91" s="248"/>
      <c r="J91" s="292">
        <f>J89+J90</f>
        <v>20424121708</v>
      </c>
      <c r="K91" s="292"/>
      <c r="L91" s="248"/>
      <c r="M91" s="248"/>
      <c r="N91" s="248"/>
      <c r="O91" s="248"/>
      <c r="P91" s="248"/>
      <c r="Q91" s="248"/>
      <c r="R91" s="248"/>
      <c r="S91" s="248"/>
      <c r="T91" s="248"/>
      <c r="U91" s="248"/>
      <c r="V91" s="248"/>
      <c r="W91" s="248"/>
      <c r="X91" s="248"/>
      <c r="Y91" s="293"/>
      <c r="Z91" s="296"/>
      <c r="AA91" s="296"/>
      <c r="AB91" s="248"/>
      <c r="AC91" s="248"/>
      <c r="AD91" s="296"/>
      <c r="AE91" s="296"/>
      <c r="AF91" s="296"/>
      <c r="AG91" s="296"/>
      <c r="AH91" s="296"/>
      <c r="AI91" s="296"/>
      <c r="AJ91" s="228"/>
    </row>
    <row r="92" spans="1:41">
      <c r="A92" s="150" t="s">
        <v>407</v>
      </c>
      <c r="C92" s="297"/>
      <c r="D92" s="297" t="s">
        <v>111</v>
      </c>
      <c r="E92" s="248"/>
      <c r="F92" s="248"/>
      <c r="G92" s="228"/>
      <c r="H92" s="293"/>
      <c r="I92" s="248"/>
      <c r="J92" s="292"/>
      <c r="K92" s="297"/>
      <c r="L92" s="248"/>
      <c r="M92" s="248"/>
      <c r="N92" s="248"/>
      <c r="O92" s="296"/>
      <c r="P92" s="248"/>
      <c r="Q92" s="296"/>
      <c r="R92" s="293"/>
      <c r="S92" s="296"/>
      <c r="T92" s="296"/>
      <c r="U92" s="248"/>
      <c r="V92" s="248"/>
      <c r="W92" s="293"/>
      <c r="X92" s="248"/>
      <c r="Y92" s="296"/>
      <c r="Z92" s="296"/>
      <c r="AA92" s="296"/>
      <c r="AB92" s="248"/>
      <c r="AC92" s="228"/>
      <c r="AD92" s="228"/>
      <c r="AE92" s="228"/>
      <c r="AF92" s="228"/>
      <c r="AG92" s="248"/>
      <c r="AH92" s="248"/>
      <c r="AI92" s="228"/>
      <c r="AJ92" s="296"/>
    </row>
    <row r="93" spans="1:41">
      <c r="C93" s="193"/>
      <c r="F93" s="154"/>
      <c r="I93" s="219"/>
      <c r="K93" s="218"/>
      <c r="L93" s="154"/>
      <c r="R93" s="217"/>
      <c r="S93" s="219"/>
      <c r="V93" s="154"/>
      <c r="W93" s="219"/>
      <c r="X93" s="219"/>
      <c r="AD93" s="398" t="s">
        <v>768</v>
      </c>
      <c r="AE93" s="398"/>
      <c r="AF93" s="398"/>
      <c r="AG93" s="398" t="s">
        <v>784</v>
      </c>
      <c r="AH93" s="398"/>
      <c r="AI93" s="398"/>
      <c r="AJ93" s="398" t="s">
        <v>799</v>
      </c>
      <c r="AK93" s="398"/>
      <c r="AL93" s="398"/>
      <c r="AM93" s="398" t="s">
        <v>805</v>
      </c>
      <c r="AN93" s="398"/>
      <c r="AO93" s="398"/>
    </row>
    <row r="94" spans="1:41">
      <c r="D94" s="182" t="s">
        <v>102</v>
      </c>
      <c r="E94" s="150" t="s">
        <v>108</v>
      </c>
      <c r="L94" s="154"/>
      <c r="Y94" s="154"/>
      <c r="AD94" s="284" t="s">
        <v>443</v>
      </c>
      <c r="AE94" s="285" t="s">
        <v>444</v>
      </c>
      <c r="AF94" s="284" t="s">
        <v>445</v>
      </c>
      <c r="AG94" s="284" t="s">
        <v>443</v>
      </c>
      <c r="AH94" s="285" t="s">
        <v>444</v>
      </c>
      <c r="AI94" s="284" t="s">
        <v>445</v>
      </c>
      <c r="AJ94" s="284" t="s">
        <v>443</v>
      </c>
      <c r="AK94" s="285" t="s">
        <v>444</v>
      </c>
      <c r="AL94" s="284" t="s">
        <v>445</v>
      </c>
      <c r="AM94" s="284" t="s">
        <v>443</v>
      </c>
      <c r="AN94" s="285" t="s">
        <v>444</v>
      </c>
      <c r="AO94" s="284" t="s">
        <v>445</v>
      </c>
    </row>
    <row r="95" spans="1:41">
      <c r="C95" s="150"/>
      <c r="D95" s="150"/>
      <c r="F95" s="395" t="s">
        <v>481</v>
      </c>
      <c r="G95" s="395"/>
      <c r="H95" s="395" t="s">
        <v>481</v>
      </c>
      <c r="I95" s="395"/>
      <c r="J95" s="395" t="s">
        <v>481</v>
      </c>
      <c r="K95" s="395"/>
      <c r="L95" s="298"/>
      <c r="M95" s="298"/>
      <c r="P95" s="298" t="s">
        <v>430</v>
      </c>
      <c r="Q95" s="298"/>
      <c r="R95" s="395" t="s">
        <v>481</v>
      </c>
      <c r="S95" s="395"/>
      <c r="T95" s="395"/>
      <c r="V95" s="150" t="str">
        <f>[4]!TERBILANG(V96)</f>
        <v xml:space="preserve">Enambelas Juta Duaratus Limabelas Ribu Delapanratus Sembilanpuluh Enam </v>
      </c>
      <c r="AD95" s="169" t="s">
        <v>771</v>
      </c>
      <c r="AE95" s="176" t="s">
        <v>772</v>
      </c>
      <c r="AF95" s="176">
        <v>2250000</v>
      </c>
      <c r="AG95" s="169" t="s">
        <v>785</v>
      </c>
      <c r="AH95" s="176" t="s">
        <v>786</v>
      </c>
      <c r="AI95" s="176">
        <v>536718</v>
      </c>
      <c r="AJ95" s="169" t="s">
        <v>800</v>
      </c>
      <c r="AK95" s="176" t="s">
        <v>801</v>
      </c>
      <c r="AL95" s="176">
        <v>26254500</v>
      </c>
      <c r="AM95" s="169" t="s">
        <v>463</v>
      </c>
      <c r="AN95" s="176" t="s">
        <v>807</v>
      </c>
      <c r="AO95" s="176">
        <v>15000587</v>
      </c>
    </row>
    <row r="96" spans="1:41" ht="17.25" customHeight="1">
      <c r="F96" s="395" t="s">
        <v>482</v>
      </c>
      <c r="G96" s="395"/>
      <c r="H96" s="395" t="s">
        <v>504</v>
      </c>
      <c r="I96" s="395"/>
      <c r="J96" s="395" t="s">
        <v>735</v>
      </c>
      <c r="K96" s="395"/>
      <c r="L96" s="342"/>
      <c r="M96" s="342"/>
      <c r="O96" s="150" t="s">
        <v>375</v>
      </c>
      <c r="P96" s="299">
        <v>44635</v>
      </c>
      <c r="Q96" s="299"/>
      <c r="R96" s="402">
        <v>44813</v>
      </c>
      <c r="S96" s="402"/>
      <c r="T96" s="402"/>
      <c r="U96" s="185"/>
      <c r="V96" s="164">
        <v>16215896</v>
      </c>
      <c r="AA96" s="150" t="s">
        <v>111</v>
      </c>
      <c r="AC96" s="150" t="s">
        <v>108</v>
      </c>
      <c r="AD96" s="162" t="s">
        <v>724</v>
      </c>
      <c r="AE96" s="313" t="s">
        <v>773</v>
      </c>
      <c r="AF96" s="314">
        <v>19585426</v>
      </c>
      <c r="AG96" s="162" t="s">
        <v>709</v>
      </c>
      <c r="AH96" s="313" t="s">
        <v>787</v>
      </c>
      <c r="AI96" s="314">
        <v>16700000</v>
      </c>
      <c r="AJ96" s="162" t="s">
        <v>130</v>
      </c>
      <c r="AK96" s="313" t="s">
        <v>802</v>
      </c>
      <c r="AL96" s="314">
        <v>135945030</v>
      </c>
      <c r="AM96" s="162" t="s">
        <v>724</v>
      </c>
      <c r="AN96" s="176" t="s">
        <v>807</v>
      </c>
      <c r="AO96" s="314">
        <v>7738680</v>
      </c>
    </row>
    <row r="97" spans="3:42">
      <c r="C97" s="150"/>
      <c r="D97" s="150" t="s">
        <v>112</v>
      </c>
      <c r="F97" s="169"/>
      <c r="G97" s="176"/>
      <c r="H97" s="154"/>
      <c r="J97" s="225" t="s">
        <v>230</v>
      </c>
      <c r="K97" s="341" t="s">
        <v>233</v>
      </c>
      <c r="L97" s="225" t="s">
        <v>445</v>
      </c>
      <c r="M97" s="176"/>
      <c r="N97" s="247"/>
      <c r="O97" s="247"/>
      <c r="P97" s="250"/>
      <c r="Q97" s="250"/>
      <c r="R97" s="340" t="s">
        <v>230</v>
      </c>
      <c r="S97" s="340" t="s">
        <v>445</v>
      </c>
      <c r="T97" s="340" t="s">
        <v>233</v>
      </c>
      <c r="U97" s="247"/>
      <c r="V97" s="247"/>
      <c r="W97" s="226"/>
      <c r="X97" s="176"/>
      <c r="Y97" s="248"/>
      <c r="Z97" s="154"/>
      <c r="AD97" s="169" t="s">
        <v>688</v>
      </c>
      <c r="AE97" s="176" t="s">
        <v>774</v>
      </c>
      <c r="AF97" s="176">
        <v>12773789</v>
      </c>
      <c r="AG97" s="169" t="s">
        <v>554</v>
      </c>
      <c r="AH97" s="176" t="s">
        <v>788</v>
      </c>
      <c r="AI97" s="176">
        <v>235974</v>
      </c>
      <c r="AJ97" s="169" t="s">
        <v>803</v>
      </c>
      <c r="AK97" s="176" t="s">
        <v>804</v>
      </c>
      <c r="AL97" s="176">
        <v>2645457</v>
      </c>
      <c r="AM97" s="162" t="s">
        <v>688</v>
      </c>
      <c r="AN97" s="176" t="s">
        <v>807</v>
      </c>
      <c r="AO97" s="314">
        <v>3921615</v>
      </c>
    </row>
    <row r="98" spans="3:42">
      <c r="C98" s="150"/>
      <c r="D98" s="150"/>
      <c r="F98" s="169"/>
      <c r="G98" s="176"/>
      <c r="H98" s="154"/>
      <c r="I98" s="154"/>
      <c r="J98" s="169" t="s">
        <v>463</v>
      </c>
      <c r="K98" s="176" t="s">
        <v>736</v>
      </c>
      <c r="L98" s="176">
        <v>6500000</v>
      </c>
      <c r="M98" s="176"/>
      <c r="O98" s="228"/>
      <c r="P98" s="339"/>
      <c r="Q98" s="339"/>
      <c r="R98" s="331" t="s">
        <v>548</v>
      </c>
      <c r="S98" s="331">
        <v>64364842</v>
      </c>
      <c r="T98" s="330" t="s">
        <v>743</v>
      </c>
      <c r="U98" s="228"/>
      <c r="V98" s="229"/>
      <c r="W98" s="169"/>
      <c r="X98" s="176"/>
      <c r="Y98" s="154"/>
      <c r="Z98" s="154"/>
      <c r="AD98" s="169" t="s">
        <v>594</v>
      </c>
      <c r="AE98" s="176" t="s">
        <v>775</v>
      </c>
      <c r="AF98" s="176">
        <v>35473144</v>
      </c>
      <c r="AG98" s="169" t="s">
        <v>789</v>
      </c>
      <c r="AH98" s="176" t="s">
        <v>790</v>
      </c>
      <c r="AI98" s="176">
        <v>327000</v>
      </c>
      <c r="AJ98" s="403" t="s">
        <v>241</v>
      </c>
      <c r="AK98" s="404"/>
      <c r="AL98" s="227">
        <f>SUM(AL95:AL97)</f>
        <v>164844987</v>
      </c>
      <c r="AM98" s="162" t="s">
        <v>464</v>
      </c>
      <c r="AN98" s="176" t="s">
        <v>807</v>
      </c>
      <c r="AO98" s="314">
        <v>15378661</v>
      </c>
    </row>
    <row r="99" spans="3:42">
      <c r="C99" s="150"/>
      <c r="D99" s="150"/>
      <c r="F99" s="169"/>
      <c r="G99" s="176"/>
      <c r="H99" s="154"/>
      <c r="I99" s="154"/>
      <c r="J99" s="169" t="s">
        <v>464</v>
      </c>
      <c r="K99" s="176" t="s">
        <v>737</v>
      </c>
      <c r="L99" s="176">
        <v>3575000</v>
      </c>
      <c r="M99" s="176"/>
      <c r="O99" s="228"/>
      <c r="P99" s="339"/>
      <c r="Q99" s="339"/>
      <c r="R99" s="331" t="s">
        <v>548</v>
      </c>
      <c r="S99" s="331">
        <v>6769726</v>
      </c>
      <c r="T99" s="330" t="s">
        <v>744</v>
      </c>
      <c r="U99" s="228"/>
      <c r="V99" s="229"/>
      <c r="W99" s="169"/>
      <c r="X99" s="176"/>
      <c r="Y99" s="154"/>
      <c r="Z99" s="154"/>
      <c r="AD99" s="169" t="s">
        <v>466</v>
      </c>
      <c r="AE99" s="176" t="s">
        <v>776</v>
      </c>
      <c r="AF99" s="176">
        <v>24714306</v>
      </c>
      <c r="AG99" s="169" t="s">
        <v>791</v>
      </c>
      <c r="AH99" s="176" t="s">
        <v>792</v>
      </c>
      <c r="AI99" s="176">
        <v>2249999</v>
      </c>
      <c r="AJ99" s="405" t="s">
        <v>50</v>
      </c>
      <c r="AK99" s="405"/>
      <c r="AL99" s="227">
        <v>1024417774</v>
      </c>
      <c r="AM99" s="162" t="s">
        <v>465</v>
      </c>
      <c r="AN99" s="176" t="s">
        <v>807</v>
      </c>
      <c r="AO99" s="314">
        <v>13939394</v>
      </c>
    </row>
    <row r="100" spans="3:42">
      <c r="C100" s="150"/>
      <c r="D100" s="150"/>
      <c r="F100" s="169"/>
      <c r="G100" s="176"/>
      <c r="H100" s="154"/>
      <c r="I100" s="154"/>
      <c r="J100" s="169" t="s">
        <v>467</v>
      </c>
      <c r="K100" s="176" t="s">
        <v>687</v>
      </c>
      <c r="L100" s="176">
        <v>2300000</v>
      </c>
      <c r="M100" s="176"/>
      <c r="O100" s="228"/>
      <c r="P100" s="339"/>
      <c r="Q100" s="339"/>
      <c r="R100" s="331" t="s">
        <v>551</v>
      </c>
      <c r="S100" s="331">
        <v>9786724</v>
      </c>
      <c r="T100" s="330" t="s">
        <v>745</v>
      </c>
      <c r="U100" s="228"/>
      <c r="V100" s="229"/>
      <c r="W100" s="169"/>
      <c r="X100" s="272"/>
      <c r="Y100" s="154"/>
      <c r="Z100" s="154"/>
      <c r="AC100" s="150" t="s">
        <v>111</v>
      </c>
      <c r="AD100" s="169" t="s">
        <v>468</v>
      </c>
      <c r="AE100" s="176" t="s">
        <v>777</v>
      </c>
      <c r="AF100" s="176">
        <v>17223164</v>
      </c>
      <c r="AG100" s="169" t="s">
        <v>793</v>
      </c>
      <c r="AH100" s="176" t="s">
        <v>794</v>
      </c>
      <c r="AI100" s="176">
        <v>4000000</v>
      </c>
      <c r="AJ100" s="405" t="s">
        <v>110</v>
      </c>
      <c r="AK100" s="405"/>
      <c r="AL100" s="227">
        <f>AL99-AL98</f>
        <v>859572787</v>
      </c>
      <c r="AM100" s="162" t="s">
        <v>466</v>
      </c>
      <c r="AN100" s="176" t="s">
        <v>807</v>
      </c>
      <c r="AO100" s="314">
        <v>19794293</v>
      </c>
    </row>
    <row r="101" spans="3:42">
      <c r="C101" s="150"/>
      <c r="D101" s="150"/>
      <c r="F101" s="169"/>
      <c r="G101" s="176"/>
      <c r="I101" s="154"/>
      <c r="J101" s="169" t="s">
        <v>470</v>
      </c>
      <c r="K101" s="176" t="s">
        <v>738</v>
      </c>
      <c r="L101" s="176">
        <v>10869000</v>
      </c>
      <c r="M101" s="271"/>
      <c r="N101" s="247"/>
      <c r="O101" s="247"/>
      <c r="P101" s="250"/>
      <c r="Q101" s="343"/>
      <c r="R101" s="331" t="s">
        <v>551</v>
      </c>
      <c r="S101" s="331">
        <v>63530080</v>
      </c>
      <c r="T101" s="331" t="s">
        <v>746</v>
      </c>
      <c r="U101" s="247"/>
      <c r="V101" s="247"/>
      <c r="W101" s="226"/>
      <c r="X101" s="169"/>
      <c r="Y101" s="248"/>
      <c r="Z101" s="248"/>
      <c r="AD101" s="169" t="s">
        <v>472</v>
      </c>
      <c r="AE101" s="176" t="s">
        <v>773</v>
      </c>
      <c r="AF101" s="176">
        <v>38030288</v>
      </c>
      <c r="AG101" s="169" t="s">
        <v>795</v>
      </c>
      <c r="AH101" s="176" t="s">
        <v>796</v>
      </c>
      <c r="AI101" s="176">
        <v>6021850</v>
      </c>
      <c r="AJ101" s="154"/>
      <c r="AM101" s="162" t="s">
        <v>467</v>
      </c>
      <c r="AN101" s="313" t="s">
        <v>808</v>
      </c>
      <c r="AO101" s="314">
        <v>18664316</v>
      </c>
    </row>
    <row r="102" spans="3:42">
      <c r="D102" s="193"/>
      <c r="E102" s="154"/>
      <c r="G102" s="154"/>
      <c r="H102" s="154"/>
      <c r="I102" s="154"/>
      <c r="J102" s="180" t="s">
        <v>739</v>
      </c>
      <c r="K102" s="180" t="s">
        <v>740</v>
      </c>
      <c r="L102" s="176">
        <v>1877650</v>
      </c>
      <c r="M102" s="154"/>
      <c r="N102" s="154"/>
      <c r="O102" s="154"/>
      <c r="P102" s="154"/>
      <c r="Q102" s="154"/>
      <c r="R102" s="331" t="s">
        <v>551</v>
      </c>
      <c r="S102" s="176">
        <v>196049318</v>
      </c>
      <c r="T102" s="176" t="s">
        <v>747</v>
      </c>
      <c r="U102" s="154"/>
      <c r="W102" s="248"/>
      <c r="X102" s="248"/>
      <c r="Y102" s="248"/>
      <c r="Z102" s="248"/>
      <c r="AA102" s="154"/>
      <c r="AC102" s="150" t="s">
        <v>108</v>
      </c>
      <c r="AD102" s="169" t="s">
        <v>778</v>
      </c>
      <c r="AE102" s="176" t="s">
        <v>774</v>
      </c>
      <c r="AF102" s="176">
        <v>15886721</v>
      </c>
      <c r="AG102" s="169" t="s">
        <v>440</v>
      </c>
      <c r="AH102" s="176" t="s">
        <v>797</v>
      </c>
      <c r="AI102" s="176">
        <v>1524000</v>
      </c>
      <c r="AJ102" s="154"/>
      <c r="AM102" s="162" t="s">
        <v>468</v>
      </c>
      <c r="AN102" s="313" t="s">
        <v>809</v>
      </c>
      <c r="AO102" s="314">
        <v>17527030</v>
      </c>
    </row>
    <row r="103" spans="3:42" ht="16.5" customHeight="1">
      <c r="D103" s="193"/>
      <c r="E103" s="154"/>
      <c r="H103" s="154"/>
      <c r="I103" s="154"/>
      <c r="J103" s="406" t="s">
        <v>241</v>
      </c>
      <c r="K103" s="407"/>
      <c r="L103" s="227">
        <f>SUM(L98:L102)</f>
        <v>25121650</v>
      </c>
      <c r="M103" s="154"/>
      <c r="N103" s="154"/>
      <c r="O103" s="154"/>
      <c r="P103" s="154"/>
      <c r="Q103" s="154"/>
      <c r="R103" s="176" t="s">
        <v>565</v>
      </c>
      <c r="S103" s="176">
        <v>13100000</v>
      </c>
      <c r="T103" s="176" t="s">
        <v>748</v>
      </c>
      <c r="U103" s="154"/>
      <c r="W103" s="248"/>
      <c r="X103" s="248"/>
      <c r="Y103" s="248"/>
      <c r="Z103" s="248"/>
      <c r="AA103" s="154"/>
      <c r="AD103" s="169" t="s">
        <v>464</v>
      </c>
      <c r="AE103" s="169" t="s">
        <v>773</v>
      </c>
      <c r="AF103" s="176">
        <v>25901224</v>
      </c>
      <c r="AG103" s="169" t="s">
        <v>440</v>
      </c>
      <c r="AH103" s="169" t="s">
        <v>441</v>
      </c>
      <c r="AI103" s="176">
        <v>53520780</v>
      </c>
      <c r="AJ103" s="154"/>
      <c r="AM103" s="162" t="s">
        <v>469</v>
      </c>
      <c r="AN103" s="313" t="s">
        <v>810</v>
      </c>
      <c r="AO103" s="314">
        <v>34561090</v>
      </c>
      <c r="AP103" s="150" t="s">
        <v>108</v>
      </c>
    </row>
    <row r="104" spans="3:42">
      <c r="D104" s="193"/>
      <c r="E104" s="154"/>
      <c r="H104" s="154"/>
      <c r="I104" s="154"/>
      <c r="J104" s="344"/>
      <c r="K104" s="344"/>
      <c r="L104" s="345"/>
      <c r="M104" s="154"/>
      <c r="N104" s="154"/>
      <c r="O104" s="154"/>
      <c r="P104" s="154"/>
      <c r="Q104" s="154"/>
      <c r="R104" s="176" t="s">
        <v>135</v>
      </c>
      <c r="S104" s="176">
        <v>3000000</v>
      </c>
      <c r="T104" s="176" t="s">
        <v>749</v>
      </c>
      <c r="U104" s="154"/>
      <c r="W104" s="248"/>
      <c r="X104" s="248"/>
      <c r="Y104" s="248"/>
      <c r="Z104" s="248"/>
      <c r="AA104" s="154"/>
      <c r="AD104" s="169" t="s">
        <v>467</v>
      </c>
      <c r="AE104" s="169" t="s">
        <v>773</v>
      </c>
      <c r="AF104" s="176">
        <v>28918417</v>
      </c>
      <c r="AG104" s="169" t="s">
        <v>623</v>
      </c>
      <c r="AH104" s="169" t="s">
        <v>798</v>
      </c>
      <c r="AI104" s="176">
        <v>7658550</v>
      </c>
      <c r="AJ104" s="154"/>
      <c r="AM104" s="162" t="s">
        <v>470</v>
      </c>
      <c r="AN104" s="313" t="s">
        <v>811</v>
      </c>
      <c r="AO104" s="314">
        <v>20658327</v>
      </c>
    </row>
    <row r="105" spans="3:42">
      <c r="D105" s="193"/>
      <c r="E105" s="154"/>
      <c r="H105" s="154"/>
      <c r="I105" s="154"/>
      <c r="J105" s="344"/>
      <c r="K105" s="344">
        <v>33127920</v>
      </c>
      <c r="L105" s="345"/>
      <c r="M105" s="154"/>
      <c r="N105" s="154" t="s">
        <v>112</v>
      </c>
      <c r="O105" s="154"/>
      <c r="P105" s="154"/>
      <c r="Q105" s="154"/>
      <c r="R105" s="176"/>
      <c r="S105" s="176"/>
      <c r="T105" s="176"/>
      <c r="U105" s="154"/>
      <c r="W105" s="248"/>
      <c r="X105" s="248"/>
      <c r="Y105" s="248"/>
      <c r="Z105" s="248"/>
      <c r="AA105" s="154"/>
      <c r="AD105" s="169" t="s">
        <v>469</v>
      </c>
      <c r="AE105" s="169" t="s">
        <v>779</v>
      </c>
      <c r="AF105" s="176">
        <v>60414703</v>
      </c>
      <c r="AG105" s="169"/>
      <c r="AH105" s="176"/>
      <c r="AI105" s="176"/>
      <c r="AJ105" s="154"/>
      <c r="AM105" s="162" t="s">
        <v>806</v>
      </c>
      <c r="AN105" s="313" t="s">
        <v>807</v>
      </c>
      <c r="AO105" s="314">
        <v>31967137</v>
      </c>
    </row>
    <row r="106" spans="3:42" ht="18" customHeight="1">
      <c r="D106" s="193"/>
      <c r="E106" s="154"/>
      <c r="H106" s="154"/>
      <c r="I106" s="154"/>
      <c r="K106" s="193" t="str">
        <f>[4]!TERBILANG(K105)</f>
        <v xml:space="preserve">Tigapuluh Tiga Juta Seratus Duapuluh Tujuh Ribu Sembilanratus Duapuluh  </v>
      </c>
      <c r="L106" s="193"/>
      <c r="M106" s="193"/>
      <c r="N106" s="154"/>
      <c r="O106" s="154"/>
      <c r="P106" s="154"/>
      <c r="Q106" s="154"/>
      <c r="R106" s="176" t="s">
        <v>241</v>
      </c>
      <c r="S106" s="176">
        <f>SUM(S98:S104)</f>
        <v>356600690</v>
      </c>
      <c r="T106" s="176"/>
      <c r="U106" s="154"/>
      <c r="W106" s="154"/>
      <c r="X106" s="154"/>
      <c r="Y106" s="154" t="s">
        <v>766</v>
      </c>
      <c r="Z106" s="154">
        <f>3750+37250</f>
        <v>41000</v>
      </c>
      <c r="AA106" s="154"/>
      <c r="AD106" s="169" t="s">
        <v>470</v>
      </c>
      <c r="AE106" s="169" t="s">
        <v>777</v>
      </c>
      <c r="AF106" s="176">
        <v>50512768</v>
      </c>
      <c r="AG106" s="403" t="s">
        <v>241</v>
      </c>
      <c r="AH106" s="404"/>
      <c r="AI106" s="227">
        <f>SUM(AI95:AI105)</f>
        <v>92774871</v>
      </c>
      <c r="AJ106" s="154"/>
      <c r="AM106" s="162" t="s">
        <v>472</v>
      </c>
      <c r="AN106" s="313" t="s">
        <v>812</v>
      </c>
      <c r="AO106" s="314">
        <v>53072450</v>
      </c>
    </row>
    <row r="107" spans="3:42" hidden="1">
      <c r="C107" s="150"/>
      <c r="D107" s="154" t="s">
        <v>111</v>
      </c>
      <c r="E107" s="154"/>
      <c r="H107" s="154"/>
      <c r="I107" s="154"/>
      <c r="J107" s="154"/>
      <c r="K107" s="154"/>
      <c r="L107" s="154"/>
      <c r="M107" s="154"/>
      <c r="N107" s="154" t="s">
        <v>108</v>
      </c>
      <c r="O107" s="154"/>
      <c r="P107" s="154"/>
      <c r="Q107" s="154"/>
      <c r="R107" s="176"/>
      <c r="S107" s="176"/>
      <c r="T107" s="176"/>
      <c r="U107" s="154"/>
      <c r="W107" s="248"/>
      <c r="X107" s="154"/>
      <c r="Y107" s="154" t="s">
        <v>764</v>
      </c>
      <c r="Z107" s="154">
        <v>-100000</v>
      </c>
      <c r="AA107" s="154"/>
      <c r="AD107" s="169" t="s">
        <v>471</v>
      </c>
      <c r="AE107" s="176" t="s">
        <v>777</v>
      </c>
      <c r="AF107" s="176">
        <v>38301128</v>
      </c>
      <c r="AG107" s="405" t="s">
        <v>50</v>
      </c>
      <c r="AH107" s="405"/>
      <c r="AI107" s="227">
        <v>1136119601</v>
      </c>
      <c r="AJ107" s="154"/>
      <c r="AM107" s="162" t="s">
        <v>729</v>
      </c>
      <c r="AN107" s="313"/>
      <c r="AO107" s="314"/>
    </row>
    <row r="108" spans="3:42">
      <c r="C108" s="150"/>
      <c r="D108" s="154"/>
      <c r="E108" s="154"/>
      <c r="G108" s="154"/>
      <c r="H108" s="154"/>
      <c r="I108" s="154"/>
      <c r="J108" s="193"/>
      <c r="K108" s="193"/>
      <c r="L108" s="193"/>
      <c r="M108" s="193"/>
      <c r="N108" s="193"/>
      <c r="O108" s="193"/>
      <c r="P108" s="193"/>
      <c r="Q108" s="154"/>
      <c r="R108" s="154"/>
      <c r="S108" s="154"/>
      <c r="T108" s="154"/>
      <c r="U108" s="154"/>
      <c r="W108" s="154"/>
      <c r="X108" s="154"/>
      <c r="Y108" s="154" t="s">
        <v>765</v>
      </c>
      <c r="Z108" s="154">
        <v>124000</v>
      </c>
      <c r="AA108" s="154"/>
      <c r="AD108" s="169" t="s">
        <v>780</v>
      </c>
      <c r="AE108" s="176" t="s">
        <v>781</v>
      </c>
      <c r="AF108" s="176">
        <v>1176997562</v>
      </c>
      <c r="AG108" s="405" t="s">
        <v>110</v>
      </c>
      <c r="AH108" s="405"/>
      <c r="AI108" s="227">
        <f>AI107-AI106</f>
        <v>1043344730</v>
      </c>
      <c r="AJ108" s="154"/>
      <c r="AM108" s="162" t="s">
        <v>729</v>
      </c>
      <c r="AN108" s="313" t="s">
        <v>813</v>
      </c>
      <c r="AO108" s="314">
        <v>2081669</v>
      </c>
    </row>
    <row r="109" spans="3:42">
      <c r="C109" s="150"/>
      <c r="D109" s="154"/>
      <c r="E109" s="154"/>
      <c r="G109" s="154"/>
      <c r="H109" s="154"/>
      <c r="I109" s="154"/>
      <c r="J109" s="193"/>
      <c r="K109" s="193"/>
      <c r="L109" s="193"/>
      <c r="M109" s="193"/>
      <c r="N109" s="193"/>
      <c r="O109" s="193"/>
      <c r="P109" s="193"/>
      <c r="Q109" s="154"/>
      <c r="R109" s="154"/>
      <c r="S109" s="154"/>
      <c r="T109" s="154"/>
      <c r="U109" s="154"/>
      <c r="W109" s="154"/>
      <c r="X109" s="154"/>
      <c r="Y109" s="154" t="s">
        <v>767</v>
      </c>
      <c r="Z109" s="154">
        <v>27000</v>
      </c>
      <c r="AA109" s="154"/>
      <c r="AD109" s="169" t="s">
        <v>782</v>
      </c>
      <c r="AE109" s="176" t="s">
        <v>783</v>
      </c>
      <c r="AF109" s="176">
        <v>6927000</v>
      </c>
      <c r="AG109" s="154"/>
      <c r="AH109" s="154"/>
      <c r="AI109" s="154"/>
      <c r="AJ109" s="154"/>
      <c r="AM109" s="162" t="s">
        <v>729</v>
      </c>
      <c r="AN109" s="313" t="s">
        <v>510</v>
      </c>
      <c r="AO109" s="314">
        <v>3550000</v>
      </c>
    </row>
    <row r="110" spans="3:42">
      <c r="C110" s="150"/>
      <c r="D110" s="154"/>
      <c r="E110" s="154" t="s">
        <v>111</v>
      </c>
      <c r="G110" s="154"/>
      <c r="H110" s="154"/>
      <c r="I110" s="154" t="s">
        <v>111</v>
      </c>
      <c r="J110" s="193">
        <v>3644000</v>
      </c>
      <c r="K110" s="193"/>
      <c r="L110" s="193"/>
      <c r="M110" s="193"/>
      <c r="N110" s="193"/>
      <c r="O110" s="193"/>
      <c r="P110" s="193"/>
      <c r="Q110" s="154"/>
      <c r="R110" s="154"/>
      <c r="S110" s="154"/>
      <c r="T110" s="154"/>
      <c r="U110" s="154"/>
      <c r="W110" s="154"/>
      <c r="X110" s="154"/>
      <c r="Y110" s="154"/>
      <c r="Z110" s="154">
        <f>SUM(Z106:Z109)</f>
        <v>92000</v>
      </c>
      <c r="AA110" s="154"/>
      <c r="AD110" s="169" t="s">
        <v>771</v>
      </c>
      <c r="AE110" s="176" t="s">
        <v>462</v>
      </c>
      <c r="AF110" s="176">
        <v>18870588</v>
      </c>
      <c r="AG110" s="154"/>
      <c r="AH110" s="154"/>
      <c r="AI110" s="154"/>
      <c r="AJ110" s="154"/>
      <c r="AM110" s="169"/>
      <c r="AN110" s="176"/>
      <c r="AO110" s="176"/>
    </row>
    <row r="111" spans="3:42">
      <c r="C111" s="150"/>
      <c r="D111" s="154"/>
      <c r="E111" s="154"/>
      <c r="F111" s="150" t="s">
        <v>111</v>
      </c>
      <c r="G111" s="154"/>
      <c r="H111" s="154" t="s">
        <v>112</v>
      </c>
      <c r="I111" s="154"/>
      <c r="J111" s="193">
        <v>9786724</v>
      </c>
      <c r="K111" s="193"/>
      <c r="L111" s="193"/>
      <c r="M111" s="193"/>
      <c r="N111" s="193"/>
      <c r="O111" s="193"/>
      <c r="P111" s="193"/>
      <c r="Q111" s="154"/>
      <c r="R111" s="154"/>
      <c r="S111" s="154"/>
      <c r="T111" s="154"/>
      <c r="U111" s="154"/>
      <c r="W111" s="154"/>
      <c r="X111" s="154"/>
      <c r="Y111" s="154"/>
      <c r="Z111" s="154"/>
      <c r="AA111" s="154"/>
      <c r="AD111" s="169"/>
      <c r="AE111" s="176"/>
      <c r="AF111" s="176"/>
      <c r="AG111" s="154"/>
      <c r="AH111" s="154"/>
      <c r="AI111" s="154"/>
      <c r="AJ111" s="154"/>
      <c r="AM111" s="403" t="s">
        <v>241</v>
      </c>
      <c r="AN111" s="404"/>
      <c r="AO111" s="227">
        <f>SUM(AO95:AO110)</f>
        <v>257855249</v>
      </c>
    </row>
    <row r="112" spans="3:42">
      <c r="C112" s="150"/>
      <c r="D112" s="154"/>
      <c r="E112" s="154" t="s">
        <v>112</v>
      </c>
      <c r="G112" s="154"/>
      <c r="H112" s="154"/>
      <c r="I112" s="154" t="s">
        <v>108</v>
      </c>
      <c r="J112" s="193">
        <v>70128085</v>
      </c>
      <c r="K112" s="193"/>
      <c r="L112" s="193"/>
      <c r="M112" s="193"/>
      <c r="N112" s="193"/>
      <c r="O112" s="193"/>
      <c r="P112" s="193"/>
      <c r="Q112" s="154"/>
      <c r="R112" s="154"/>
      <c r="S112" s="154"/>
      <c r="T112" s="154"/>
      <c r="U112" s="154"/>
      <c r="W112" s="154"/>
      <c r="X112" s="154"/>
      <c r="Y112" s="154"/>
      <c r="Z112" s="154"/>
      <c r="AA112" s="154"/>
      <c r="AC112" s="150" t="s">
        <v>111</v>
      </c>
      <c r="AD112" s="403" t="s">
        <v>241</v>
      </c>
      <c r="AE112" s="404"/>
      <c r="AF112" s="227">
        <f>SUM(AF95:AF111)</f>
        <v>1572780228</v>
      </c>
      <c r="AG112" s="154"/>
      <c r="AH112" s="154"/>
      <c r="AI112" s="154"/>
      <c r="AJ112" s="154"/>
      <c r="AM112" s="405" t="s">
        <v>50</v>
      </c>
      <c r="AN112" s="405"/>
      <c r="AO112" s="227">
        <v>862048887</v>
      </c>
    </row>
    <row r="113" spans="3:41">
      <c r="C113" s="150"/>
      <c r="D113" s="154"/>
      <c r="E113" s="154"/>
      <c r="G113" s="154"/>
      <c r="H113" s="154"/>
      <c r="I113" s="154"/>
      <c r="J113" s="193">
        <v>196049318</v>
      </c>
      <c r="K113" s="193"/>
      <c r="L113" s="193"/>
      <c r="M113" s="193"/>
      <c r="N113" s="193"/>
      <c r="O113" s="193"/>
      <c r="P113" s="193"/>
      <c r="Q113" s="154"/>
      <c r="R113" s="154"/>
      <c r="S113" s="154"/>
      <c r="T113" s="154"/>
      <c r="U113" s="154"/>
      <c r="W113" s="154"/>
      <c r="X113" s="154"/>
      <c r="Y113" s="154"/>
      <c r="Z113" s="154"/>
      <c r="AA113" s="154"/>
      <c r="AD113" s="405" t="s">
        <v>50</v>
      </c>
      <c r="AE113" s="405"/>
      <c r="AF113" s="227">
        <v>2707374829</v>
      </c>
      <c r="AG113" s="154"/>
      <c r="AH113" s="154"/>
      <c r="AI113" s="154"/>
      <c r="AJ113" s="154"/>
      <c r="AM113" s="405" t="s">
        <v>110</v>
      </c>
      <c r="AN113" s="405"/>
      <c r="AO113" s="227">
        <f>AO112-AO111</f>
        <v>604193638</v>
      </c>
    </row>
    <row r="114" spans="3:41">
      <c r="C114" s="150"/>
      <c r="D114" s="154" t="s">
        <v>111</v>
      </c>
      <c r="E114" s="154"/>
      <c r="G114" s="154"/>
      <c r="H114" s="154"/>
      <c r="I114" s="154"/>
      <c r="J114" s="193">
        <v>11409138</v>
      </c>
      <c r="K114" s="193"/>
      <c r="L114" s="193" t="s">
        <v>108</v>
      </c>
      <c r="M114" s="193"/>
      <c r="N114" s="193"/>
      <c r="O114" s="193"/>
      <c r="P114" s="193"/>
      <c r="Q114" s="154"/>
      <c r="R114" s="154"/>
      <c r="S114" s="154"/>
      <c r="T114" s="154"/>
      <c r="U114" s="154"/>
      <c r="W114" s="154"/>
      <c r="X114" s="154"/>
      <c r="Y114" s="154"/>
      <c r="Z114" s="154"/>
      <c r="AA114" s="154"/>
      <c r="AB114" s="150" t="s">
        <v>111</v>
      </c>
      <c r="AD114" s="405" t="s">
        <v>110</v>
      </c>
      <c r="AE114" s="405"/>
      <c r="AF114" s="227">
        <f>AF113-AF112</f>
        <v>1134594601</v>
      </c>
      <c r="AG114" s="154"/>
      <c r="AH114" s="154"/>
      <c r="AI114" s="154"/>
      <c r="AJ114" s="154"/>
      <c r="AM114" s="150" t="s">
        <v>111</v>
      </c>
    </row>
    <row r="115" spans="3:41">
      <c r="D115" s="193"/>
      <c r="E115" s="150" t="s">
        <v>111</v>
      </c>
      <c r="F115" s="219"/>
      <c r="G115" s="154" t="e">
        <f ca="1">[3]!terbilang(G108)</f>
        <v>#NAME?</v>
      </c>
      <c r="H115" s="154">
        <v>8859000</v>
      </c>
      <c r="I115" s="154" t="e">
        <f ca="1">[3]!terbilang(I108)</f>
        <v>#NAME?</v>
      </c>
      <c r="J115" s="154">
        <v>57188986</v>
      </c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W115" s="154"/>
      <c r="X115" s="154"/>
      <c r="Y115" s="248" t="e">
        <f ca="1">[3]!terbilang(Y106)</f>
        <v>#NAME?</v>
      </c>
      <c r="Z115" s="154" t="s">
        <v>111</v>
      </c>
      <c r="AA115" s="154"/>
      <c r="AC115" s="150" t="s">
        <v>112</v>
      </c>
      <c r="AE115" s="154"/>
      <c r="AF115" s="154"/>
      <c r="AG115" s="154"/>
      <c r="AH115" s="154"/>
      <c r="AI115" s="154"/>
      <c r="AJ115" s="154"/>
    </row>
    <row r="116" spans="3:41">
      <c r="G116" s="154"/>
      <c r="H116" s="154" t="e">
        <f ca="1">[3]!terbilang(H115)</f>
        <v>#NAME?</v>
      </c>
      <c r="I116" s="193">
        <v>1089999</v>
      </c>
      <c r="J116" s="193">
        <v>15000000</v>
      </c>
      <c r="K116" s="193" t="s">
        <v>112</v>
      </c>
      <c r="L116" s="401" t="s">
        <v>706</v>
      </c>
      <c r="M116" s="401"/>
      <c r="N116" s="401"/>
      <c r="O116" s="154"/>
      <c r="P116" s="401" t="s">
        <v>720</v>
      </c>
      <c r="Q116" s="401"/>
      <c r="R116" s="401"/>
      <c r="S116" s="401" t="s">
        <v>721</v>
      </c>
      <c r="T116" s="401"/>
      <c r="U116" s="401"/>
      <c r="W116" s="248"/>
      <c r="X116" s="248"/>
      <c r="Y116" s="154"/>
      <c r="Z116" s="154"/>
      <c r="AA116" s="154"/>
      <c r="AE116" s="154"/>
      <c r="AF116" s="154"/>
      <c r="AG116" s="154"/>
      <c r="AH116" s="154"/>
      <c r="AI116" s="154"/>
      <c r="AJ116" s="154"/>
    </row>
    <row r="117" spans="3:41">
      <c r="G117" s="154"/>
      <c r="H117" s="154"/>
      <c r="I117" s="154"/>
      <c r="J117" s="154">
        <f>SUM(J110:J116)</f>
        <v>363206251</v>
      </c>
      <c r="K117" s="154"/>
      <c r="L117" s="176" t="s">
        <v>230</v>
      </c>
      <c r="M117" s="176" t="s">
        <v>444</v>
      </c>
      <c r="N117" s="176" t="s">
        <v>445</v>
      </c>
      <c r="O117" s="154"/>
      <c r="P117" s="285" t="s">
        <v>230</v>
      </c>
      <c r="Q117" s="285" t="s">
        <v>444</v>
      </c>
      <c r="R117" s="285" t="s">
        <v>445</v>
      </c>
      <c r="S117" s="285" t="s">
        <v>230</v>
      </c>
      <c r="T117" s="285" t="s">
        <v>444</v>
      </c>
      <c r="U117" s="285" t="s">
        <v>445</v>
      </c>
      <c r="W117" s="154"/>
      <c r="X117" s="154"/>
      <c r="Y117" s="248" t="e">
        <f ca="1">[3]!terbilang(Y116)</f>
        <v>#NAME?</v>
      </c>
      <c r="Z117" s="248"/>
      <c r="AA117" s="154"/>
      <c r="AB117" s="154"/>
      <c r="AE117" s="154"/>
      <c r="AF117" s="154"/>
      <c r="AG117" s="154"/>
      <c r="AH117" s="154"/>
      <c r="AI117" s="154"/>
      <c r="AJ117" s="154"/>
    </row>
    <row r="118" spans="3:41">
      <c r="D118" s="193">
        <v>56628134</v>
      </c>
      <c r="E118" s="154">
        <v>11313793</v>
      </c>
      <c r="F118" s="154">
        <v>4903555261</v>
      </c>
      <c r="G118" s="154">
        <v>22883258</v>
      </c>
      <c r="H118" s="193" t="s">
        <v>111</v>
      </c>
      <c r="I118" s="154" t="s">
        <v>111</v>
      </c>
      <c r="J118" s="154" t="s">
        <v>111</v>
      </c>
      <c r="K118" s="154"/>
      <c r="L118" s="176" t="s">
        <v>463</v>
      </c>
      <c r="M118" s="176" t="s">
        <v>707</v>
      </c>
      <c r="N118" s="176">
        <v>870000</v>
      </c>
      <c r="P118" s="176" t="s">
        <v>620</v>
      </c>
      <c r="Q118" s="176" t="s">
        <v>621</v>
      </c>
      <c r="R118" s="176">
        <v>5786000</v>
      </c>
      <c r="S118" s="176" t="s">
        <v>463</v>
      </c>
      <c r="T118" s="176" t="s">
        <v>722</v>
      </c>
      <c r="U118" s="176">
        <v>11289000</v>
      </c>
      <c r="W118" s="248"/>
      <c r="X118" s="248"/>
      <c r="Z118" s="154"/>
      <c r="AA118" s="154"/>
      <c r="AB118" s="154"/>
      <c r="AE118" s="154"/>
      <c r="AF118" s="154"/>
      <c r="AG118" s="154"/>
      <c r="AH118" s="154"/>
      <c r="AI118" s="154"/>
      <c r="AJ118" s="154"/>
    </row>
    <row r="119" spans="3:41">
      <c r="D119" s="193"/>
      <c r="E119" s="154"/>
      <c r="F119" s="154"/>
      <c r="G119" s="154"/>
      <c r="H119" s="193"/>
      <c r="I119" s="154"/>
      <c r="J119" s="154"/>
      <c r="K119" s="154"/>
      <c r="L119" s="176" t="s">
        <v>466</v>
      </c>
      <c r="M119" s="176" t="s">
        <v>708</v>
      </c>
      <c r="N119" s="176">
        <v>582000</v>
      </c>
      <c r="P119" s="176" t="s">
        <v>625</v>
      </c>
      <c r="Q119" s="176" t="s">
        <v>626</v>
      </c>
      <c r="R119" s="176">
        <v>500000</v>
      </c>
      <c r="S119" s="176" t="s">
        <v>724</v>
      </c>
      <c r="T119" s="169" t="s">
        <v>725</v>
      </c>
      <c r="U119" s="176">
        <v>11745160</v>
      </c>
      <c r="W119" s="248"/>
      <c r="X119" s="248"/>
      <c r="Z119" s="154"/>
      <c r="AA119" s="154"/>
      <c r="AB119" s="154"/>
      <c r="AE119" s="154"/>
      <c r="AF119" s="154"/>
      <c r="AG119" s="154"/>
      <c r="AH119" s="154"/>
      <c r="AI119" s="154"/>
      <c r="AJ119" s="154"/>
    </row>
    <row r="120" spans="3:41">
      <c r="D120" s="193" t="e">
        <f ca="1">[3]!terbilang(D118)</f>
        <v>#NAME?</v>
      </c>
      <c r="E120" s="193" t="e">
        <f ca="1">[3]!terbilang(E118)</f>
        <v>#NAME?</v>
      </c>
      <c r="F120" s="193" t="e">
        <f ca="1">[3]!terbilang(F118)</f>
        <v>#NAME?</v>
      </c>
      <c r="G120" s="193" t="e">
        <f ca="1">[3]!terbilang(G118)</f>
        <v>#NAME?</v>
      </c>
      <c r="H120" s="193" t="e">
        <f ca="1">[3]!terbilang(H118)</f>
        <v>#NAME?</v>
      </c>
      <c r="I120" s="154" t="s">
        <v>108</v>
      </c>
      <c r="J120" s="154"/>
      <c r="K120" s="154"/>
      <c r="L120" s="176" t="s">
        <v>467</v>
      </c>
      <c r="M120" s="176" t="s">
        <v>583</v>
      </c>
      <c r="N120" s="176">
        <v>1125000</v>
      </c>
      <c r="P120" s="176" t="s">
        <v>437</v>
      </c>
      <c r="Q120" s="176" t="s">
        <v>622</v>
      </c>
      <c r="R120" s="176">
        <v>3015600</v>
      </c>
      <c r="S120" s="176" t="s">
        <v>464</v>
      </c>
      <c r="T120" s="176" t="s">
        <v>707</v>
      </c>
      <c r="U120" s="176">
        <v>1835000</v>
      </c>
      <c r="X120" s="154"/>
      <c r="Z120" s="154"/>
      <c r="AA120" s="154">
        <v>763000</v>
      </c>
      <c r="AB120" s="154">
        <v>1687597784</v>
      </c>
      <c r="AC120" s="154">
        <v>102150000</v>
      </c>
      <c r="AD120" s="154">
        <v>135945030</v>
      </c>
      <c r="AE120" s="154"/>
      <c r="AF120" s="154"/>
      <c r="AG120" s="154"/>
      <c r="AH120" s="154"/>
      <c r="AI120" s="154"/>
    </row>
    <row r="121" spans="3:41">
      <c r="D121" s="193">
        <v>2867700789</v>
      </c>
      <c r="E121" s="193">
        <v>13711355</v>
      </c>
      <c r="F121" s="193">
        <v>2813544</v>
      </c>
      <c r="G121" s="193">
        <v>1144573898</v>
      </c>
      <c r="H121" s="193"/>
      <c r="I121" s="154"/>
      <c r="J121" s="154"/>
      <c r="K121" s="154"/>
      <c r="L121" s="176" t="s">
        <v>468</v>
      </c>
      <c r="M121" s="169" t="s">
        <v>708</v>
      </c>
      <c r="N121" s="176">
        <v>653000</v>
      </c>
      <c r="P121" s="176" t="s">
        <v>623</v>
      </c>
      <c r="Q121" s="169" t="s">
        <v>624</v>
      </c>
      <c r="R121" s="176">
        <v>8643800</v>
      </c>
      <c r="S121" s="176" t="s">
        <v>594</v>
      </c>
      <c r="T121" s="176" t="s">
        <v>723</v>
      </c>
      <c r="U121" s="176">
        <v>2913405</v>
      </c>
      <c r="W121" s="154"/>
      <c r="X121" s="154">
        <v>30000</v>
      </c>
      <c r="Z121" s="154"/>
      <c r="AA121" s="154" t="str">
        <f>[4]!TERBILANG(AA120)</f>
        <v xml:space="preserve">Tujuhratus Enampuluh Tiga Ribu </v>
      </c>
      <c r="AB121" s="154" t="e">
        <f ca="1">[3]!terbilang(AB120)</f>
        <v>#NAME?</v>
      </c>
      <c r="AC121" s="154" t="str">
        <f>[4]!TERBILANG(AC120)</f>
        <v xml:space="preserve">Seratus Dua Juta Seratus Limapuluh  Ribu </v>
      </c>
      <c r="AD121" s="154" t="str">
        <f>[4]!TERBILANG(AD120)</f>
        <v xml:space="preserve">Seratus Tigapuluh Lima Juta Sembilanratus Empatpuluh Lima Ribu Tigapuluh  </v>
      </c>
      <c r="AE121" s="154">
        <v>3550000</v>
      </c>
      <c r="AF121" s="154"/>
      <c r="AG121" s="154"/>
      <c r="AH121" s="154"/>
      <c r="AI121" s="154"/>
    </row>
    <row r="122" spans="3:41">
      <c r="D122" s="193"/>
      <c r="E122" s="193"/>
      <c r="F122" s="193"/>
      <c r="G122" s="193"/>
      <c r="H122" s="193"/>
      <c r="I122" s="154"/>
      <c r="J122" s="154"/>
      <c r="K122" s="154"/>
      <c r="L122" s="176" t="s">
        <v>469</v>
      </c>
      <c r="M122" s="176" t="s">
        <v>708</v>
      </c>
      <c r="N122" s="176">
        <v>10000000</v>
      </c>
      <c r="P122" s="176"/>
      <c r="Q122" s="169"/>
      <c r="R122" s="176"/>
      <c r="S122" s="176" t="s">
        <v>468</v>
      </c>
      <c r="T122" s="169" t="s">
        <v>707</v>
      </c>
      <c r="U122" s="176">
        <v>900000</v>
      </c>
      <c r="W122" s="154"/>
      <c r="X122" s="154"/>
      <c r="Z122" s="154"/>
      <c r="AA122" s="154"/>
      <c r="AB122" s="154"/>
      <c r="AC122" s="154"/>
      <c r="AD122" s="154"/>
      <c r="AE122" s="154" t="str">
        <f>[4]!TERBILANG(AE121)</f>
        <v xml:space="preserve">Tiga Juta Limaratus Limapuluh  Ribu </v>
      </c>
      <c r="AF122" s="154"/>
      <c r="AG122" s="154"/>
      <c r="AH122" s="154"/>
    </row>
    <row r="123" spans="3:41">
      <c r="D123" s="193"/>
      <c r="E123" s="193"/>
      <c r="F123" s="193"/>
      <c r="G123" s="193"/>
      <c r="H123" s="193"/>
      <c r="I123" s="154"/>
      <c r="J123" s="154"/>
      <c r="K123" s="154" t="s">
        <v>111</v>
      </c>
      <c r="L123" s="176" t="s">
        <v>709</v>
      </c>
      <c r="M123" s="176" t="s">
        <v>710</v>
      </c>
      <c r="N123" s="176">
        <v>5950000</v>
      </c>
      <c r="P123" s="176"/>
      <c r="Q123" s="169"/>
      <c r="R123" s="176"/>
      <c r="S123" s="176" t="s">
        <v>469</v>
      </c>
      <c r="T123" s="169" t="s">
        <v>728</v>
      </c>
      <c r="U123" s="176">
        <v>19570000</v>
      </c>
      <c r="W123" s="154"/>
      <c r="X123" s="154"/>
      <c r="Z123" s="154"/>
      <c r="AA123" s="154"/>
      <c r="AB123" s="154"/>
      <c r="AC123" s="154"/>
      <c r="AD123" s="154"/>
      <c r="AE123" s="154"/>
      <c r="AF123" s="154" t="s">
        <v>111</v>
      </c>
      <c r="AG123" s="154"/>
      <c r="AH123" s="154"/>
    </row>
    <row r="124" spans="3:41">
      <c r="D124" s="193"/>
      <c r="E124" s="193"/>
      <c r="F124" s="193"/>
      <c r="G124" s="193"/>
      <c r="H124" s="193"/>
      <c r="I124" s="154"/>
      <c r="J124" s="154"/>
      <c r="K124" s="154"/>
      <c r="L124" s="176"/>
      <c r="M124" s="169"/>
      <c r="N124" s="176"/>
      <c r="P124" s="176"/>
      <c r="Q124" s="169"/>
      <c r="R124" s="176"/>
      <c r="S124" s="176" t="s">
        <v>472</v>
      </c>
      <c r="T124" s="169" t="s">
        <v>707</v>
      </c>
      <c r="U124" s="176">
        <v>1830000</v>
      </c>
      <c r="W124" s="154"/>
      <c r="X124" s="154"/>
      <c r="Z124" s="154"/>
      <c r="AA124" s="154"/>
      <c r="AB124" s="154"/>
      <c r="AC124" s="154"/>
      <c r="AD124" s="154"/>
      <c r="AE124" s="154"/>
      <c r="AF124" s="154"/>
      <c r="AG124" s="154"/>
      <c r="AH124" s="154"/>
    </row>
    <row r="125" spans="3:41">
      <c r="D125" s="193"/>
      <c r="E125" s="193"/>
      <c r="F125" s="193"/>
      <c r="G125" s="193"/>
      <c r="H125" s="193"/>
      <c r="I125" s="154"/>
      <c r="J125" s="154"/>
      <c r="K125" s="154"/>
      <c r="L125" s="176"/>
      <c r="M125" s="169"/>
      <c r="N125" s="176"/>
      <c r="P125" s="176"/>
      <c r="Q125" s="169"/>
      <c r="R125" s="176"/>
      <c r="S125" s="176" t="s">
        <v>727</v>
      </c>
      <c r="T125" s="169" t="s">
        <v>726</v>
      </c>
      <c r="U125" s="176">
        <v>2775000</v>
      </c>
      <c r="W125" s="154"/>
      <c r="X125" s="154"/>
      <c r="Z125" s="154"/>
      <c r="AA125" s="154"/>
      <c r="AB125" s="154"/>
      <c r="AC125" s="154"/>
      <c r="AD125" s="154"/>
      <c r="AE125" s="154"/>
      <c r="AF125" s="154"/>
    </row>
    <row r="126" spans="3:41">
      <c r="D126" s="193"/>
      <c r="E126" s="193"/>
      <c r="F126" s="193"/>
      <c r="G126" s="193"/>
      <c r="H126" s="193"/>
      <c r="I126" s="154"/>
      <c r="J126" s="154"/>
      <c r="K126" s="154"/>
      <c r="L126" s="176"/>
      <c r="M126" s="169"/>
      <c r="N126" s="176"/>
      <c r="P126" s="176"/>
      <c r="Q126" s="169"/>
      <c r="R126" s="176"/>
      <c r="S126" s="176" t="s">
        <v>729</v>
      </c>
      <c r="T126" s="169" t="s">
        <v>730</v>
      </c>
      <c r="U126" s="176">
        <v>3000000</v>
      </c>
      <c r="W126" s="154"/>
      <c r="X126" s="154"/>
      <c r="Z126" s="154"/>
      <c r="AA126" s="154"/>
      <c r="AB126" s="154"/>
      <c r="AC126" s="154"/>
      <c r="AD126" s="154"/>
      <c r="AE126" s="154"/>
      <c r="AF126" s="154"/>
    </row>
    <row r="127" spans="3:41">
      <c r="D127" s="193"/>
      <c r="E127" s="193"/>
      <c r="F127" s="193"/>
      <c r="G127" s="193"/>
      <c r="H127" s="193"/>
      <c r="I127" s="154"/>
      <c r="J127" s="154"/>
      <c r="K127" s="154"/>
      <c r="L127" s="176"/>
      <c r="M127" s="169"/>
      <c r="N127" s="176"/>
      <c r="P127" s="176"/>
      <c r="Q127" s="169"/>
      <c r="R127" s="176"/>
      <c r="S127" s="176"/>
      <c r="T127" s="169"/>
      <c r="U127" s="176"/>
      <c r="W127" s="154"/>
      <c r="X127" s="154"/>
      <c r="Z127" s="154"/>
      <c r="AA127" s="154"/>
      <c r="AB127" s="154"/>
      <c r="AC127" s="154"/>
      <c r="AD127" s="154"/>
      <c r="AE127" s="154"/>
      <c r="AF127" s="154" t="s">
        <v>111</v>
      </c>
    </row>
    <row r="128" spans="3:41">
      <c r="C128" s="150"/>
      <c r="D128" s="193" t="s">
        <v>542</v>
      </c>
      <c r="E128" s="154"/>
      <c r="F128" s="154"/>
      <c r="G128" s="154"/>
      <c r="H128" s="154"/>
      <c r="J128" s="154"/>
      <c r="K128" s="154"/>
      <c r="L128" s="227" t="s">
        <v>563</v>
      </c>
      <c r="M128" s="192"/>
      <c r="N128" s="227">
        <f>SUM(N118:N124)</f>
        <v>19180000</v>
      </c>
      <c r="P128" s="227" t="s">
        <v>563</v>
      </c>
      <c r="Q128" s="192"/>
      <c r="R128" s="227">
        <f>SUM(R118:R124)</f>
        <v>17945400</v>
      </c>
      <c r="S128" s="227" t="s">
        <v>563</v>
      </c>
      <c r="T128" s="192"/>
      <c r="U128" s="227">
        <f>SUM(U118:U126)</f>
        <v>55857565</v>
      </c>
      <c r="W128" s="248"/>
      <c r="X128" s="248" t="e">
        <f ca="1">[3]!terbilang(#REF!)</f>
        <v>#NAME?</v>
      </c>
      <c r="Z128" s="154"/>
      <c r="AA128" s="154" t="e">
        <f ca="1">[3]!terbilang(#REF!)</f>
        <v>#NAME?</v>
      </c>
      <c r="AB128" s="154" t="e">
        <f ca="1">[3]!terbilang(#REF!)</f>
        <v>#NAME?</v>
      </c>
      <c r="AC128" s="154" t="e">
        <f ca="1">[3]!terbilang(#REF!)</f>
        <v>#NAME?</v>
      </c>
      <c r="AD128" s="154" t="e">
        <f ca="1">[3]!terbilang(#REF!)</f>
        <v>#NAME?</v>
      </c>
      <c r="AF128" s="154"/>
    </row>
    <row r="129" spans="3:33">
      <c r="C129" s="150"/>
      <c r="D129" s="193"/>
      <c r="E129" s="193"/>
      <c r="F129" s="193"/>
      <c r="G129" s="193"/>
      <c r="H129" s="154"/>
      <c r="J129" s="193"/>
      <c r="K129" s="193"/>
      <c r="L129" s="154"/>
      <c r="N129" s="154"/>
      <c r="P129" s="154"/>
      <c r="Q129" s="154"/>
      <c r="R129" s="154"/>
      <c r="T129" s="154"/>
      <c r="Z129" s="154" t="s">
        <v>112</v>
      </c>
      <c r="AA129" s="154">
        <v>21276666</v>
      </c>
      <c r="AB129" s="154">
        <v>7518000</v>
      </c>
      <c r="AC129" s="154" t="s">
        <v>111</v>
      </c>
      <c r="AD129" s="154"/>
      <c r="AE129" s="154"/>
      <c r="AF129" s="154"/>
    </row>
    <row r="130" spans="3:33">
      <c r="C130" s="150"/>
      <c r="D130" s="193"/>
      <c r="E130" s="154" t="s">
        <v>104</v>
      </c>
      <c r="F130" s="154">
        <v>282181644</v>
      </c>
      <c r="G130" s="154"/>
      <c r="H130" s="154"/>
      <c r="J130" s="193"/>
      <c r="K130" s="193"/>
      <c r="L130" s="154"/>
      <c r="N130" s="154"/>
      <c r="P130" s="154"/>
      <c r="Q130" s="154"/>
      <c r="R130" s="154"/>
      <c r="T130" s="154"/>
      <c r="V130" s="185"/>
      <c r="X130" s="154"/>
      <c r="Z130" s="154"/>
      <c r="AA130" s="154" t="e">
        <f ca="1">[3]!terbilang(AA129)</f>
        <v>#NAME?</v>
      </c>
      <c r="AB130" s="154" t="e">
        <f ca="1">[3]!terbilang(AB129)</f>
        <v>#NAME?</v>
      </c>
      <c r="AC130" s="154" t="e">
        <f ca="1">[3]!terbilang(AC129)</f>
        <v>#NAME?</v>
      </c>
      <c r="AD130" s="154" t="e">
        <f ca="1">[3]!terbilang(AD129)</f>
        <v>#NAME?</v>
      </c>
      <c r="AE130" s="154" t="e">
        <f ca="1">[3]!terbilang(AE129)</f>
        <v>#NAME?</v>
      </c>
    </row>
    <row r="131" spans="3:33">
      <c r="C131" s="150"/>
      <c r="D131" s="193"/>
      <c r="E131" s="193" t="s">
        <v>651</v>
      </c>
      <c r="F131" s="193">
        <v>31039981</v>
      </c>
      <c r="G131" s="193"/>
      <c r="H131" s="154"/>
      <c r="I131" s="154">
        <v>300966517</v>
      </c>
      <c r="J131" s="193"/>
      <c r="K131" s="193"/>
      <c r="N131" s="154"/>
      <c r="O131" s="150" t="s">
        <v>111</v>
      </c>
      <c r="R131" s="185"/>
      <c r="T131" s="154">
        <v>825503</v>
      </c>
      <c r="U131" s="154">
        <v>158757386</v>
      </c>
      <c r="V131" s="154">
        <v>7529997</v>
      </c>
      <c r="W131" s="154">
        <v>40897488</v>
      </c>
      <c r="Z131" s="154" t="s">
        <v>111</v>
      </c>
      <c r="AA131" s="154">
        <v>10350000</v>
      </c>
      <c r="AB131" s="154">
        <v>22729543</v>
      </c>
      <c r="AC131" s="154">
        <v>16303742</v>
      </c>
      <c r="AD131" s="154"/>
      <c r="AE131" s="154"/>
      <c r="AF131" s="154"/>
    </row>
    <row r="132" spans="3:33">
      <c r="C132" s="150"/>
      <c r="D132" s="193" t="s">
        <v>545</v>
      </c>
      <c r="E132" s="154" t="s">
        <v>652</v>
      </c>
      <c r="F132" s="154">
        <f>F130*15%</f>
        <v>42327246.600000001</v>
      </c>
      <c r="G132" s="154"/>
      <c r="H132" s="154">
        <v>8845339</v>
      </c>
      <c r="I132" s="154"/>
      <c r="J132" s="193"/>
      <c r="K132" s="193"/>
      <c r="N132" s="154"/>
      <c r="R132" s="185">
        <v>44545</v>
      </c>
      <c r="S132" s="150" t="s">
        <v>112</v>
      </c>
      <c r="T132" s="154" t="str">
        <f>[4]!TERBILANG(T131)</f>
        <v xml:space="preserve">Delapanratus Duapuluh Lima Ribu Limaratus Tiga </v>
      </c>
      <c r="U132" s="154" t="str">
        <f>[4]!TERBILANG(U131)</f>
        <v xml:space="preserve">Seratus Limapuluh Delapan Juta Tujuhratus Limapuluh Tujuh Ribu Tigaratus Delapanpuluh Enam </v>
      </c>
      <c r="V132" s="154" t="e">
        <f ca="1">[3]!terbilang(V131)</f>
        <v>#NAME?</v>
      </c>
      <c r="W132" s="154" t="str">
        <f>[4]!TERBILANG(W131)</f>
        <v xml:space="preserve">Empatpuluh  Juta Delapanratus Sembilanpuluh Tujuh Ribu Empatratus Delapanpuluh Delapan </v>
      </c>
      <c r="AA132" s="154" t="e">
        <f ca="1">[3]!terbilang(AA131)</f>
        <v>#NAME?</v>
      </c>
      <c r="AB132" s="154" t="e">
        <f ca="1">[3]!terbilang(AB131)</f>
        <v>#NAME?</v>
      </c>
      <c r="AC132" s="154" t="e">
        <f ca="1">[3]!terbilang(AC131)</f>
        <v>#NAME?</v>
      </c>
      <c r="AD132" s="154" t="e">
        <f ca="1">[3]!terbilang(AD131)</f>
        <v>#NAME?</v>
      </c>
      <c r="AG132" s="154">
        <v>14458500</v>
      </c>
    </row>
    <row r="133" spans="3:33">
      <c r="C133" s="150"/>
      <c r="D133" s="193"/>
      <c r="E133" s="154" t="s">
        <v>653</v>
      </c>
      <c r="F133" s="154">
        <f>F130+F131-F132</f>
        <v>270894378.39999998</v>
      </c>
      <c r="G133" s="154"/>
      <c r="H133" s="154">
        <v>59202460</v>
      </c>
      <c r="I133" s="154"/>
      <c r="J133" s="193"/>
      <c r="K133" s="193"/>
      <c r="N133" s="154"/>
      <c r="R133" s="185">
        <v>44545</v>
      </c>
      <c r="T133" s="154">
        <v>2775000</v>
      </c>
      <c r="U133" s="154">
        <v>77264972</v>
      </c>
      <c r="V133" s="150">
        <v>3031731</v>
      </c>
      <c r="W133" s="150">
        <v>3025000</v>
      </c>
      <c r="X133" s="150">
        <v>39097062</v>
      </c>
      <c r="AA133" s="154">
        <v>5260710</v>
      </c>
      <c r="AB133" s="154">
        <v>42449921</v>
      </c>
      <c r="AC133" s="154"/>
      <c r="AD133" s="154"/>
      <c r="AG133" s="154">
        <v>7914768</v>
      </c>
    </row>
    <row r="134" spans="3:33">
      <c r="C134" s="150"/>
      <c r="D134" s="193"/>
      <c r="E134" s="154" t="s">
        <v>112</v>
      </c>
      <c r="F134" s="154"/>
      <c r="G134" s="154"/>
      <c r="H134" s="154">
        <v>14400000</v>
      </c>
      <c r="I134" s="154"/>
      <c r="J134" s="193"/>
      <c r="K134" s="193" t="s">
        <v>658</v>
      </c>
      <c r="Q134" s="150" t="s">
        <v>714</v>
      </c>
      <c r="R134" s="150" t="s">
        <v>715</v>
      </c>
      <c r="T134" s="154" t="e">
        <f ca="1">[3]!terbilang(T133)</f>
        <v>#NAME?</v>
      </c>
      <c r="U134" s="154" t="e">
        <f ca="1">[3]!terbilang(U133)</f>
        <v>#NAME?</v>
      </c>
      <c r="V134" s="154" t="e">
        <f ca="1">[3]!terbilang(V133)</f>
        <v>#NAME?</v>
      </c>
      <c r="W134" s="154" t="e">
        <f ca="1">[3]!terbilang(W133)</f>
        <v>#NAME?</v>
      </c>
      <c r="X134" s="154" t="e">
        <f ca="1">[3]!terbilang(X133)</f>
        <v>#NAME?</v>
      </c>
      <c r="Y134" s="154" t="e">
        <f ca="1">[3]!terbilang(Y133)</f>
        <v>#NAME?</v>
      </c>
      <c r="AA134" s="154" t="e">
        <f ca="1">[3]!terbilang(AA133)</f>
        <v>#NAME?</v>
      </c>
      <c r="AB134" s="154" t="e">
        <f ca="1">[3]!terbilang(AB133)</f>
        <v>#NAME?</v>
      </c>
      <c r="AC134" s="154" t="e">
        <f ca="1">[3]!terbilang(AC133)</f>
        <v>#NAME?</v>
      </c>
      <c r="AD134" s="154"/>
      <c r="AG134" s="154">
        <v>400000</v>
      </c>
    </row>
    <row r="135" spans="3:33">
      <c r="C135" s="150"/>
      <c r="D135" s="193"/>
      <c r="E135" s="154"/>
      <c r="F135" s="154"/>
      <c r="G135" s="154"/>
      <c r="H135" s="154"/>
      <c r="I135" s="154"/>
      <c r="J135" s="193"/>
      <c r="K135" s="193"/>
      <c r="P135" s="150" t="s">
        <v>111</v>
      </c>
      <c r="Q135" s="150" t="s">
        <v>716</v>
      </c>
      <c r="R135" s="150" t="s">
        <v>719</v>
      </c>
      <c r="S135" s="150" t="s">
        <v>717</v>
      </c>
      <c r="T135" s="154"/>
      <c r="U135" s="154">
        <v>900000</v>
      </c>
      <c r="V135" s="154">
        <v>26564276</v>
      </c>
      <c r="W135" s="154">
        <v>14544781</v>
      </c>
      <c r="X135" s="154">
        <v>60445323</v>
      </c>
      <c r="Y135" s="154">
        <v>99250443</v>
      </c>
      <c r="AA135" s="154"/>
      <c r="AB135" s="154"/>
      <c r="AC135" s="154"/>
      <c r="AD135" s="154"/>
      <c r="AG135" s="154">
        <v>1852000</v>
      </c>
    </row>
    <row r="136" spans="3:33">
      <c r="C136" s="150"/>
      <c r="D136" s="193"/>
      <c r="E136" s="154"/>
      <c r="F136" s="154"/>
      <c r="G136" s="154"/>
      <c r="H136" s="154"/>
      <c r="I136" s="154"/>
      <c r="J136" s="193"/>
      <c r="K136" s="193"/>
      <c r="O136" s="150" t="s">
        <v>112</v>
      </c>
      <c r="Q136" s="150" t="s">
        <v>718</v>
      </c>
      <c r="T136" s="154"/>
      <c r="U136" s="154" t="e">
        <f ca="1">[3]!terbilang(U135)</f>
        <v>#NAME?</v>
      </c>
      <c r="V136" s="154" t="e">
        <f ca="1">[3]!terbilang(V135)</f>
        <v>#NAME?</v>
      </c>
      <c r="W136" s="154" t="e">
        <f ca="1">[3]!terbilang(W135)</f>
        <v>#NAME?</v>
      </c>
      <c r="X136" s="154" t="e">
        <f ca="1">[3]!terbilang(X135)</f>
        <v>#NAME?</v>
      </c>
      <c r="Y136" s="154" t="e">
        <f ca="1">[3]!terbilang(Y135)</f>
        <v>#NAME?</v>
      </c>
      <c r="AA136" s="154"/>
      <c r="AB136" s="154"/>
      <c r="AC136" s="154"/>
      <c r="AD136" s="154"/>
      <c r="AG136" s="154">
        <v>1486080</v>
      </c>
    </row>
    <row r="137" spans="3:33">
      <c r="C137" s="150"/>
      <c r="D137" s="193"/>
      <c r="E137" s="154"/>
      <c r="F137" s="154"/>
      <c r="G137" s="154"/>
      <c r="H137" s="154"/>
      <c r="I137" s="154"/>
      <c r="J137" s="193"/>
      <c r="K137" s="193"/>
      <c r="T137" s="154"/>
      <c r="U137" s="154">
        <v>32027156</v>
      </c>
      <c r="V137" s="154">
        <v>46748378</v>
      </c>
      <c r="W137" s="154"/>
      <c r="X137" s="154"/>
      <c r="Y137" s="154"/>
      <c r="AA137" s="154"/>
      <c r="AB137" s="154"/>
      <c r="AC137" s="154"/>
      <c r="AD137" s="154"/>
      <c r="AE137" s="150" t="s">
        <v>699</v>
      </c>
      <c r="AG137" s="154"/>
    </row>
    <row r="138" spans="3:33">
      <c r="C138" s="150"/>
      <c r="D138" s="193"/>
      <c r="E138" s="193"/>
      <c r="F138" s="193" t="s">
        <v>111</v>
      </c>
      <c r="G138" s="193"/>
      <c r="H138" s="154">
        <v>9735803</v>
      </c>
      <c r="I138" s="154">
        <v>1635000</v>
      </c>
      <c r="K138" s="193">
        <f>8000/3</f>
        <v>2666.6666666666665</v>
      </c>
      <c r="L138" s="219">
        <f>14000+K138+K139-K140</f>
        <v>12000</v>
      </c>
      <c r="R138" s="185"/>
      <c r="U138" s="154" t="e">
        <f ca="1">[3]!terbilang(U137)</f>
        <v>#NAME?</v>
      </c>
      <c r="V138" s="154" t="e">
        <f ca="1">[3]!terbilang(V137)</f>
        <v>#NAME?</v>
      </c>
      <c r="W138" s="154" t="e">
        <f ca="1">[3]!terbilang(W137)</f>
        <v>#NAME?</v>
      </c>
      <c r="X138" s="154" t="e">
        <f ca="1">[3]!terbilang(X137)</f>
        <v>#NAME?</v>
      </c>
      <c r="Y138" s="154" t="e">
        <f ca="1">[3]!terbilang(Y137)</f>
        <v>#NAME?</v>
      </c>
      <c r="AA138" s="150" t="s">
        <v>111</v>
      </c>
      <c r="AB138" s="150" t="s">
        <v>111</v>
      </c>
      <c r="AD138" s="154" t="s">
        <v>111</v>
      </c>
      <c r="AE138" s="150" t="s">
        <v>694</v>
      </c>
      <c r="AG138" s="154"/>
    </row>
    <row r="139" spans="3:33">
      <c r="C139" s="150"/>
      <c r="D139" s="171">
        <v>18074000</v>
      </c>
      <c r="E139" s="154">
        <v>38649240</v>
      </c>
      <c r="F139" s="154">
        <v>4630930</v>
      </c>
      <c r="G139" s="154">
        <v>3757161272</v>
      </c>
      <c r="H139" s="154">
        <v>102022038</v>
      </c>
      <c r="I139" s="154" t="str">
        <f>[4]!TERBILANG(I138)</f>
        <v xml:space="preserve">Satu Juta Enamratus Tigapuluh Lima Ribu </v>
      </c>
      <c r="K139" s="193">
        <f>4000/3</f>
        <v>1333.3333333333333</v>
      </c>
      <c r="L139" s="219">
        <f>10000+K138+K139-K140</f>
        <v>8000</v>
      </c>
      <c r="P139" s="154">
        <v>3140000</v>
      </c>
      <c r="Q139" s="154">
        <v>3887260894</v>
      </c>
      <c r="R139" s="154">
        <v>20079631</v>
      </c>
      <c r="S139" s="154">
        <v>1684952150</v>
      </c>
      <c r="T139" s="154" t="e">
        <f ca="1">[3]!terbilang(T138)</f>
        <v>#NAME?</v>
      </c>
      <c r="U139" s="154" t="e">
        <f ca="1">[3]!terbilang(U138)</f>
        <v>#NAME?</v>
      </c>
      <c r="V139" s="154" t="e">
        <f ca="1">[3]!terbilang(V138)</f>
        <v>#NAME?</v>
      </c>
      <c r="W139" s="154" t="e">
        <f ca="1">[3]!terbilang(W138)</f>
        <v>#NAME?</v>
      </c>
      <c r="X139" s="154" t="e">
        <f ca="1">[3]!terbilang(X138)</f>
        <v>#NAME?</v>
      </c>
      <c r="Y139" s="154" t="e">
        <f ca="1">[3]!terbilang(Y138)</f>
        <v>#NAME?</v>
      </c>
      <c r="AA139" s="154"/>
      <c r="AB139" s="154"/>
      <c r="AC139" s="154" t="s">
        <v>111</v>
      </c>
      <c r="AE139" s="150" t="s">
        <v>695</v>
      </c>
    </row>
    <row r="140" spans="3:33">
      <c r="C140" s="150"/>
      <c r="D140" s="193" t="str">
        <f>[4]!TERBILANG(D139)</f>
        <v xml:space="preserve">Delapanbelas Juta Tujuhpuluh Empat Ribu </v>
      </c>
      <c r="E140" s="193" t="e">
        <f ca="1">[3]!terbilang(E139)</f>
        <v>#NAME?</v>
      </c>
      <c r="F140" s="193" t="e">
        <f ca="1">[3]!terbilang(F139)</f>
        <v>#NAME?</v>
      </c>
      <c r="G140" s="193" t="e">
        <f ca="1">[3]!terbilang(G139)</f>
        <v>#NAME?</v>
      </c>
      <c r="H140" s="154">
        <v>43801144</v>
      </c>
      <c r="I140" s="154"/>
      <c r="K140" s="193">
        <f>18000/3</f>
        <v>6000</v>
      </c>
      <c r="L140" s="219">
        <f>17000+K138+K139-K140</f>
        <v>15000</v>
      </c>
      <c r="P140" s="154" t="str">
        <f>[4]!TERBILANG(P139)</f>
        <v xml:space="preserve">Tiga Juta Seratus Empatpuluh  Ribu </v>
      </c>
      <c r="Q140" s="154" t="str">
        <f>[4]!TERBILANG(Q139)</f>
        <v xml:space="preserve">Tiga Miliar Delapanratus Delapanpuluh Tujuh Juta Duaratus Enampuluh  Ribu Delapanratus Sembilanpuluh Empat </v>
      </c>
      <c r="R140" s="154" t="e">
        <f ca="1">[3]!terbilang(R139)</f>
        <v>#NAME?</v>
      </c>
      <c r="S140" s="154" t="s">
        <v>89</v>
      </c>
      <c r="T140" s="154"/>
      <c r="AC140" s="150" t="s">
        <v>112</v>
      </c>
      <c r="AD140" s="154"/>
      <c r="AE140" s="150" t="s">
        <v>696</v>
      </c>
      <c r="AF140" s="150" t="s">
        <v>136</v>
      </c>
    </row>
    <row r="141" spans="3:33">
      <c r="C141" s="150"/>
      <c r="D141" s="193">
        <v>21708043</v>
      </c>
      <c r="E141" s="154"/>
      <c r="F141" s="154"/>
      <c r="G141" s="154"/>
      <c r="H141" s="154">
        <v>408494</v>
      </c>
      <c r="I141" s="154"/>
      <c r="K141" s="193"/>
      <c r="P141" s="154">
        <v>1889663</v>
      </c>
      <c r="Q141" s="154">
        <v>78873000</v>
      </c>
      <c r="R141" s="154">
        <v>14663364</v>
      </c>
      <c r="S141" s="154">
        <v>11409138</v>
      </c>
      <c r="T141" s="154"/>
      <c r="Y141" s="154">
        <v>143554320</v>
      </c>
      <c r="Z141" s="154"/>
      <c r="AA141" s="154"/>
      <c r="AB141" s="154"/>
      <c r="AC141" s="154"/>
      <c r="AE141" s="150" t="s">
        <v>697</v>
      </c>
      <c r="AF141" s="150" t="s">
        <v>136</v>
      </c>
    </row>
    <row r="142" spans="3:33">
      <c r="C142" s="150"/>
      <c r="D142" s="193">
        <v>2398726114</v>
      </c>
      <c r="E142" s="154">
        <v>2490573319</v>
      </c>
      <c r="F142" s="154">
        <v>989583824</v>
      </c>
      <c r="G142" s="154">
        <v>6074945</v>
      </c>
      <c r="H142" s="154"/>
      <c r="I142" s="154">
        <f>SUM(H132:H141)</f>
        <v>238415278</v>
      </c>
      <c r="K142" s="193"/>
      <c r="P142" s="154" t="e">
        <f ca="1">[3]!terbilang(P141)</f>
        <v>#NAME?</v>
      </c>
      <c r="Q142" s="154" t="e">
        <f ca="1">[3]!terbilang(Q141)</f>
        <v>#NAME?</v>
      </c>
      <c r="R142" s="154" t="e">
        <f ca="1">[3]!terbilang(R141)</f>
        <v>#NAME?</v>
      </c>
      <c r="S142" s="154" t="e">
        <f ca="1">[3]!terbilang(S141)</f>
        <v>#NAME?</v>
      </c>
      <c r="T142" s="154"/>
      <c r="Y142" s="154" t="str">
        <f>[4]!TERBILANG(Y141)</f>
        <v xml:space="preserve">Seratus Empatpuluh Tiga Juta Limaratus Limapuluh Empat Ribu Tigaratus Duapuluh  </v>
      </c>
      <c r="Z142" s="154"/>
      <c r="AB142" s="154"/>
      <c r="AC142" s="154" t="s">
        <v>112</v>
      </c>
      <c r="AD142" s="154"/>
      <c r="AE142" s="150" t="s">
        <v>698</v>
      </c>
      <c r="AF142" s="150" t="s">
        <v>124</v>
      </c>
    </row>
    <row r="143" spans="3:33">
      <c r="C143" s="150"/>
      <c r="D143" s="193" t="e">
        <f ca="1">[3]!terbilang(D142)</f>
        <v>#NAME?</v>
      </c>
      <c r="E143" s="193" t="e">
        <f ca="1">[3]!terbilang(E142)</f>
        <v>#NAME?</v>
      </c>
      <c r="F143" s="193" t="e">
        <f ca="1">[3]!terbilang(F142)</f>
        <v>#NAME?</v>
      </c>
      <c r="G143" s="193" t="e">
        <f ca="1">[3]!terbilang(G142)</f>
        <v>#NAME?</v>
      </c>
      <c r="H143" s="154"/>
      <c r="I143" s="154"/>
      <c r="J143" s="218">
        <f>I131-I142</f>
        <v>62551239</v>
      </c>
      <c r="P143" s="154">
        <v>5950000</v>
      </c>
      <c r="Q143" s="154">
        <v>77298480</v>
      </c>
      <c r="R143" s="154">
        <v>29688409</v>
      </c>
      <c r="S143" s="154">
        <v>1678000</v>
      </c>
      <c r="T143" s="154"/>
      <c r="Y143" s="154"/>
      <c r="Z143" s="154"/>
      <c r="AA143" s="154"/>
      <c r="AB143" s="154"/>
      <c r="AC143" s="154"/>
      <c r="AD143" s="154" t="s">
        <v>111</v>
      </c>
    </row>
    <row r="144" spans="3:33">
      <c r="C144" s="150"/>
      <c r="D144" s="154"/>
      <c r="E144" s="154"/>
      <c r="F144" s="154"/>
      <c r="G144" s="154"/>
      <c r="H144" s="154"/>
      <c r="I144" s="154"/>
      <c r="P144" s="154" t="e">
        <f ca="1">[3]!terbilang(P143)</f>
        <v>#NAME?</v>
      </c>
      <c r="Q144" s="154" t="e">
        <f ca="1">[3]!terbilang(Q143)</f>
        <v>#NAME?</v>
      </c>
      <c r="R144" s="154" t="e">
        <f ca="1">[3]!terbilang(R143)</f>
        <v>#NAME?</v>
      </c>
      <c r="S144" s="154" t="e">
        <f ca="1">[3]!terbilang(S143)</f>
        <v>#NAME?</v>
      </c>
      <c r="T144" s="154"/>
      <c r="U144" s="150" t="s">
        <v>111</v>
      </c>
      <c r="Y144" s="154"/>
      <c r="Z144" s="154"/>
      <c r="AA144" s="154"/>
      <c r="AB144" s="154"/>
      <c r="AC144" s="154"/>
      <c r="AD144" s="154"/>
    </row>
    <row r="145" spans="2:31">
      <c r="C145" s="150"/>
      <c r="D145" s="154"/>
      <c r="E145" s="154"/>
      <c r="F145" s="154"/>
      <c r="G145" s="154"/>
      <c r="H145" s="154"/>
      <c r="I145" s="154"/>
      <c r="J145" s="193"/>
      <c r="P145" s="154"/>
      <c r="Q145" s="154">
        <v>3689932926</v>
      </c>
      <c r="R145" s="154"/>
      <c r="S145" s="154"/>
      <c r="T145" s="154"/>
      <c r="Y145" s="154"/>
      <c r="Z145" s="154"/>
      <c r="AA145" s="154"/>
      <c r="AB145" s="154"/>
      <c r="AC145" s="154"/>
      <c r="AD145" s="154"/>
    </row>
    <row r="146" spans="2:31">
      <c r="C146" s="150"/>
      <c r="D146" s="193"/>
      <c r="E146" s="193"/>
      <c r="F146" s="193"/>
      <c r="G146" s="193"/>
      <c r="H146" s="154"/>
      <c r="I146" s="154"/>
      <c r="J146" s="193">
        <v>242104606</v>
      </c>
      <c r="L146" s="150" t="s">
        <v>711</v>
      </c>
      <c r="M146" s="150" t="s">
        <v>712</v>
      </c>
      <c r="P146" s="154">
        <v>4424000</v>
      </c>
      <c r="Q146" s="154">
        <v>4424000</v>
      </c>
      <c r="R146" s="154" t="e">
        <f ca="1">[3]!terbilang(R145)</f>
        <v>#NAME?</v>
      </c>
      <c r="S146" s="154" t="e">
        <f ca="1">[3]!terbilang(S145)</f>
        <v>#NAME?</v>
      </c>
      <c r="T146" s="154" t="s">
        <v>678</v>
      </c>
      <c r="Y146" s="154"/>
      <c r="Z146" s="154"/>
      <c r="AA146" s="154"/>
      <c r="AB146" s="154"/>
      <c r="AC146" s="154"/>
      <c r="AD146" s="154"/>
    </row>
    <row r="147" spans="2:31">
      <c r="C147" s="150"/>
      <c r="D147" s="154"/>
      <c r="E147" s="154"/>
      <c r="F147" s="154"/>
      <c r="G147" s="154"/>
      <c r="H147" s="154"/>
      <c r="J147" s="154">
        <v>49062122</v>
      </c>
      <c r="K147" s="150"/>
      <c r="P147" s="154">
        <v>4424000</v>
      </c>
      <c r="Q147" s="154">
        <v>11751036</v>
      </c>
      <c r="R147" s="154">
        <v>3015600</v>
      </c>
      <c r="S147" s="154">
        <v>600739</v>
      </c>
      <c r="T147" s="154"/>
      <c r="Y147" s="154"/>
      <c r="Z147" s="154"/>
      <c r="AA147" s="154"/>
      <c r="AB147" s="154"/>
      <c r="AC147" s="154"/>
      <c r="AD147" s="154">
        <v>1870843551</v>
      </c>
      <c r="AE147" s="154"/>
    </row>
    <row r="148" spans="2:31">
      <c r="C148" s="150"/>
      <c r="D148" s="193"/>
      <c r="E148" s="193"/>
      <c r="F148" s="193"/>
      <c r="G148" s="193"/>
      <c r="J148" s="154">
        <v>47292120</v>
      </c>
      <c r="K148" s="150"/>
      <c r="P148" s="154" t="e">
        <f ca="1">[3]!terbilang(P147)</f>
        <v>#NAME?</v>
      </c>
      <c r="Q148" s="154" t="e">
        <f ca="1">[3]!terbilang(Q147)</f>
        <v>#NAME?</v>
      </c>
      <c r="R148" s="154" t="e">
        <f ca="1">[3]!terbilang(R147)</f>
        <v>#NAME?</v>
      </c>
      <c r="S148" s="154" t="e">
        <f ca="1">[3]!terbilang(S147)</f>
        <v>#NAME?</v>
      </c>
      <c r="T148" s="154"/>
      <c r="Y148" s="154"/>
      <c r="Z148" s="154"/>
      <c r="AA148" s="154"/>
      <c r="AB148" s="154"/>
      <c r="AC148" s="154"/>
      <c r="AD148" s="154" t="e">
        <f ca="1">[3]!terbilang(AD147)</f>
        <v>#NAME?</v>
      </c>
      <c r="AE148" s="154"/>
    </row>
    <row r="149" spans="2:31">
      <c r="C149" s="150"/>
      <c r="D149" s="154"/>
      <c r="E149" s="154"/>
      <c r="F149" s="154"/>
      <c r="G149" s="154"/>
      <c r="H149" s="154"/>
      <c r="J149" s="154">
        <v>101877980</v>
      </c>
      <c r="K149" s="150"/>
      <c r="N149" s="150" t="s">
        <v>111</v>
      </c>
      <c r="P149" s="154">
        <v>1030905</v>
      </c>
      <c r="Q149" s="154">
        <v>756000</v>
      </c>
      <c r="R149" s="154">
        <v>42212300</v>
      </c>
      <c r="S149" s="154">
        <v>9467700</v>
      </c>
      <c r="T149" s="154"/>
      <c r="Y149" s="154"/>
      <c r="Z149" s="154"/>
      <c r="AA149" s="154"/>
      <c r="AB149" s="154"/>
      <c r="AC149" s="154"/>
      <c r="AD149" s="154"/>
      <c r="AE149" s="154"/>
    </row>
    <row r="150" spans="2:31">
      <c r="C150" s="150"/>
      <c r="D150" s="193"/>
      <c r="E150" s="193" t="s">
        <v>111</v>
      </c>
      <c r="F150" s="193"/>
      <c r="G150" s="193"/>
      <c r="H150" s="193"/>
      <c r="J150" s="154">
        <v>41198822</v>
      </c>
      <c r="K150" s="150"/>
      <c r="P150" s="154" t="e">
        <f ca="1">[3]!terbilang(P149)</f>
        <v>#NAME?</v>
      </c>
      <c r="Q150" s="154" t="e">
        <f ca="1">[3]!terbilang(Q149)</f>
        <v>#NAME?</v>
      </c>
      <c r="R150" s="154" t="e">
        <f ca="1">[3]!terbilang(R149)</f>
        <v>#NAME?</v>
      </c>
      <c r="S150" s="154" t="e">
        <f ca="1">[3]!terbilang(S149)</f>
        <v>#NAME?</v>
      </c>
      <c r="Y150" s="154"/>
      <c r="Z150" s="154"/>
      <c r="AA150" s="154"/>
      <c r="AB150" s="154"/>
      <c r="AC150" s="154"/>
      <c r="AD150" s="154" t="e">
        <f ca="1">[3]!terbilang(AD149)</f>
        <v>#NAME?</v>
      </c>
      <c r="AE150" s="154"/>
    </row>
    <row r="151" spans="2:31">
      <c r="D151" s="193"/>
      <c r="E151" s="154"/>
      <c r="F151" s="154"/>
      <c r="G151" s="154"/>
      <c r="J151" s="154">
        <v>12969890</v>
      </c>
      <c r="K151" s="150"/>
      <c r="P151" s="154"/>
      <c r="R151" s="154"/>
      <c r="AD151" s="154"/>
      <c r="AE151" s="154"/>
    </row>
    <row r="152" spans="2:31">
      <c r="D152" s="193"/>
      <c r="E152" s="154"/>
      <c r="F152" s="154"/>
      <c r="G152" s="154"/>
      <c r="J152" s="154">
        <v>30314078</v>
      </c>
      <c r="K152" s="150"/>
      <c r="P152" s="154"/>
      <c r="R152" s="154"/>
    </row>
    <row r="153" spans="2:31">
      <c r="B153" s="150" t="s">
        <v>666</v>
      </c>
      <c r="C153" s="150"/>
      <c r="D153" s="154"/>
      <c r="E153" s="154"/>
      <c r="F153" s="154"/>
      <c r="G153" s="154"/>
      <c r="J153" s="154"/>
      <c r="K153" s="150"/>
      <c r="P153" s="154"/>
      <c r="Q153" s="154">
        <v>2722753720</v>
      </c>
      <c r="R153" s="154"/>
      <c r="S153" s="154"/>
      <c r="X153" s="154"/>
      <c r="AA153" s="154"/>
      <c r="AB153" s="154"/>
      <c r="AC153" s="154"/>
    </row>
    <row r="154" spans="2:31">
      <c r="C154" s="150"/>
      <c r="D154" s="154"/>
      <c r="E154" s="154"/>
      <c r="F154" s="154"/>
      <c r="G154" s="154"/>
      <c r="J154" s="154">
        <f>SUM(J146:J153)</f>
        <v>524819618</v>
      </c>
      <c r="K154" s="150"/>
      <c r="P154" s="154"/>
      <c r="Q154" s="154"/>
      <c r="R154" s="154"/>
      <c r="S154" s="154"/>
      <c r="X154" s="154"/>
      <c r="AA154" s="154"/>
      <c r="AB154" s="154"/>
      <c r="AC154" s="154"/>
    </row>
    <row r="155" spans="2:31">
      <c r="B155" s="150" t="s">
        <v>667</v>
      </c>
      <c r="C155" s="150"/>
      <c r="D155" s="150"/>
      <c r="J155" s="154"/>
      <c r="K155" s="150"/>
      <c r="P155" s="154"/>
      <c r="Q155" s="154"/>
      <c r="R155" s="154">
        <v>877014107</v>
      </c>
      <c r="S155" s="154"/>
      <c r="T155" s="150" t="s">
        <v>111</v>
      </c>
      <c r="X155" s="154"/>
      <c r="AA155" s="154"/>
      <c r="AB155" s="154"/>
      <c r="AC155" s="154"/>
    </row>
    <row r="156" spans="2:31">
      <c r="C156" s="150"/>
      <c r="D156" s="154"/>
      <c r="E156" s="154"/>
      <c r="F156" s="154"/>
      <c r="G156" s="154"/>
      <c r="J156" s="193"/>
      <c r="P156" s="154"/>
      <c r="Q156" s="154"/>
      <c r="R156" s="154">
        <v>3605000</v>
      </c>
      <c r="S156" s="154"/>
      <c r="X156" s="154"/>
      <c r="AA156" s="154"/>
      <c r="AB156" s="154"/>
      <c r="AC156" s="154"/>
    </row>
    <row r="157" spans="2:31">
      <c r="C157" s="150"/>
      <c r="D157" s="193"/>
      <c r="E157" s="193"/>
      <c r="F157" s="193"/>
      <c r="G157" s="193"/>
      <c r="P157" s="154"/>
      <c r="Q157" s="154"/>
      <c r="R157" s="154">
        <v>2550000</v>
      </c>
      <c r="S157" s="154"/>
      <c r="W157" s="154"/>
      <c r="X157" s="154"/>
      <c r="AA157" s="154"/>
      <c r="AB157" s="154"/>
      <c r="AC157" s="154"/>
    </row>
    <row r="158" spans="2:31">
      <c r="C158" s="150"/>
      <c r="D158" s="150"/>
      <c r="J158" s="150"/>
      <c r="K158" s="150"/>
      <c r="P158" s="154"/>
      <c r="Q158" s="154"/>
      <c r="R158" s="154">
        <v>10000000</v>
      </c>
      <c r="S158" s="154"/>
      <c r="X158" s="154"/>
      <c r="AA158" s="154"/>
      <c r="AB158" s="154"/>
      <c r="AC158" s="154"/>
    </row>
    <row r="159" spans="2:31">
      <c r="C159" s="150"/>
      <c r="D159" s="150"/>
      <c r="J159" s="150"/>
      <c r="K159" s="150"/>
      <c r="P159" s="154"/>
      <c r="Q159" s="154"/>
      <c r="R159" s="154">
        <v>1320000</v>
      </c>
      <c r="S159" s="154"/>
      <c r="T159" s="150" t="s">
        <v>112</v>
      </c>
      <c r="X159" s="154"/>
      <c r="AA159" s="154"/>
      <c r="AB159" s="154"/>
      <c r="AC159" s="154"/>
    </row>
    <row r="160" spans="2:31">
      <c r="C160" s="150"/>
      <c r="D160" s="150"/>
      <c r="E160" s="245">
        <f>C160+D160</f>
        <v>0</v>
      </c>
      <c r="F160" s="241">
        <v>151858375</v>
      </c>
      <c r="I160" s="150" t="s">
        <v>111</v>
      </c>
      <c r="J160" s="150"/>
      <c r="K160" s="150"/>
      <c r="P160" s="154"/>
      <c r="Q160" s="154"/>
      <c r="R160" s="154">
        <v>1013543</v>
      </c>
      <c r="S160" s="154"/>
      <c r="X160" s="154"/>
      <c r="AA160" s="154"/>
      <c r="AB160" s="154"/>
      <c r="AC160" s="154"/>
    </row>
    <row r="161" spans="3:29">
      <c r="C161" s="150"/>
      <c r="D161" s="150"/>
      <c r="E161" s="245">
        <f t="shared" ref="E161:E182" si="4">C161+D161</f>
        <v>0</v>
      </c>
      <c r="F161" s="241">
        <v>151858375</v>
      </c>
      <c r="J161" s="150"/>
      <c r="K161" s="150"/>
      <c r="P161" s="154"/>
      <c r="Q161" s="154"/>
      <c r="R161" s="154">
        <v>1042324</v>
      </c>
      <c r="S161" s="154"/>
      <c r="T161" s="150" t="s">
        <v>108</v>
      </c>
      <c r="U161" s="150" t="s">
        <v>111</v>
      </c>
      <c r="X161" s="154"/>
      <c r="AA161" s="154"/>
      <c r="AB161" s="154"/>
      <c r="AC161" s="154"/>
    </row>
    <row r="162" spans="3:29">
      <c r="C162" s="150"/>
      <c r="D162" s="150"/>
      <c r="E162" s="245">
        <f t="shared" si="4"/>
        <v>0</v>
      </c>
      <c r="F162" s="241">
        <v>15635402</v>
      </c>
      <c r="J162" s="150"/>
      <c r="K162" s="150"/>
      <c r="Q162" s="154"/>
      <c r="R162" s="154">
        <v>356740</v>
      </c>
      <c r="S162" s="154"/>
      <c r="X162" s="154"/>
      <c r="AA162" s="154"/>
      <c r="AB162" s="154"/>
      <c r="AC162" s="154"/>
    </row>
    <row r="163" spans="3:29">
      <c r="C163" s="150"/>
      <c r="D163" s="150"/>
      <c r="E163" s="245"/>
      <c r="F163" s="241"/>
      <c r="J163" s="150"/>
      <c r="K163" s="175" t="s">
        <v>675</v>
      </c>
      <c r="L163" s="175">
        <v>78301201</v>
      </c>
      <c r="M163" s="175" t="s">
        <v>677</v>
      </c>
      <c r="N163" s="175">
        <v>10775039</v>
      </c>
      <c r="Q163" s="154"/>
      <c r="R163" s="154">
        <f>1444898479+10476291</f>
        <v>1455374770</v>
      </c>
      <c r="S163" s="154"/>
      <c r="X163" s="154"/>
      <c r="AA163" s="154"/>
      <c r="AB163" s="154"/>
      <c r="AC163" s="154"/>
    </row>
    <row r="164" spans="3:29">
      <c r="C164" s="150"/>
      <c r="D164" s="150"/>
      <c r="E164" s="245">
        <f t="shared" si="4"/>
        <v>0</v>
      </c>
      <c r="F164" s="241">
        <v>417819202</v>
      </c>
      <c r="J164" s="150"/>
      <c r="K164" s="175" t="s">
        <v>676</v>
      </c>
      <c r="L164" s="175">
        <v>16408200</v>
      </c>
      <c r="M164" s="175">
        <v>231</v>
      </c>
      <c r="N164" s="175">
        <v>5696639</v>
      </c>
      <c r="Q164" s="154"/>
      <c r="R164" s="154">
        <v>142000000</v>
      </c>
      <c r="S164" s="154"/>
      <c r="X164" s="154"/>
      <c r="AA164" s="154"/>
      <c r="AB164" s="154"/>
      <c r="AC164" s="154"/>
    </row>
    <row r="165" spans="3:29">
      <c r="C165" s="150"/>
      <c r="D165" s="150"/>
      <c r="E165" s="245"/>
      <c r="F165" s="241"/>
      <c r="J165" s="150"/>
      <c r="K165" s="175"/>
      <c r="L165" s="175"/>
      <c r="M165" s="175">
        <v>232</v>
      </c>
      <c r="N165" s="175">
        <v>13247999</v>
      </c>
      <c r="Q165" s="154"/>
      <c r="R165" s="154">
        <v>130000000</v>
      </c>
      <c r="S165" s="154"/>
      <c r="X165" s="154"/>
      <c r="AA165" s="154"/>
      <c r="AB165" s="154"/>
      <c r="AC165" s="154"/>
    </row>
    <row r="166" spans="3:29">
      <c r="C166" s="150"/>
      <c r="D166" s="150"/>
      <c r="E166" s="245"/>
      <c r="F166" s="241"/>
      <c r="J166" s="150"/>
      <c r="K166" s="150"/>
      <c r="Q166" s="154"/>
      <c r="R166" s="154"/>
      <c r="S166" s="154"/>
      <c r="X166" s="154"/>
      <c r="AA166" s="154"/>
      <c r="AB166" s="154"/>
      <c r="AC166" s="154"/>
    </row>
    <row r="167" spans="3:29">
      <c r="C167" s="150"/>
      <c r="D167" s="150"/>
      <c r="E167" s="245"/>
      <c r="F167" s="241"/>
      <c r="J167" s="150"/>
      <c r="K167" s="150"/>
      <c r="Q167" s="154"/>
      <c r="R167" s="154"/>
      <c r="S167" s="154"/>
      <c r="X167" s="154"/>
      <c r="AA167" s="154"/>
      <c r="AB167" s="154"/>
      <c r="AC167" s="154"/>
    </row>
    <row r="168" spans="3:29">
      <c r="E168" s="245">
        <f t="shared" si="4"/>
        <v>0</v>
      </c>
      <c r="F168" s="241">
        <v>8266215</v>
      </c>
      <c r="J168" s="150"/>
      <c r="K168" s="150"/>
      <c r="Q168" s="154"/>
      <c r="R168" s="154">
        <f>SUM(R155:R165)</f>
        <v>2624276484</v>
      </c>
      <c r="S168" s="154"/>
    </row>
    <row r="169" spans="3:29">
      <c r="E169" s="245">
        <f t="shared" si="4"/>
        <v>0</v>
      </c>
      <c r="F169" s="241">
        <v>8266215</v>
      </c>
      <c r="J169" s="150"/>
      <c r="K169" s="150"/>
      <c r="Q169" s="154"/>
      <c r="R169" s="154"/>
      <c r="S169" s="154"/>
    </row>
    <row r="170" spans="3:29">
      <c r="E170" s="245">
        <f t="shared" si="4"/>
        <v>0</v>
      </c>
      <c r="F170" s="242">
        <v>42795328</v>
      </c>
      <c r="J170" s="150"/>
      <c r="K170" s="150"/>
      <c r="Q170" s="154">
        <f>Q153-R168</f>
        <v>98477236</v>
      </c>
      <c r="R170" s="154"/>
      <c r="S170" s="154"/>
    </row>
    <row r="171" spans="3:29">
      <c r="C171" s="150"/>
      <c r="D171" s="150"/>
      <c r="E171" s="245">
        <f t="shared" si="4"/>
        <v>0</v>
      </c>
      <c r="F171" s="241">
        <v>26265232</v>
      </c>
      <c r="J171" s="150"/>
      <c r="K171" s="150"/>
      <c r="Q171" s="154"/>
      <c r="R171" s="154"/>
      <c r="S171" s="154" t="s">
        <v>731</v>
      </c>
      <c r="T171" s="150" t="s">
        <v>732</v>
      </c>
    </row>
    <row r="172" spans="3:29">
      <c r="C172" s="150"/>
      <c r="D172" s="150"/>
      <c r="E172" s="245">
        <f t="shared" si="4"/>
        <v>0</v>
      </c>
      <c r="F172" s="242">
        <v>26265232</v>
      </c>
      <c r="I172" s="150" t="s">
        <v>112</v>
      </c>
      <c r="Q172" s="154"/>
      <c r="R172" s="154"/>
      <c r="S172" s="154" t="s">
        <v>733</v>
      </c>
      <c r="T172" s="150">
        <v>222222</v>
      </c>
    </row>
    <row r="173" spans="3:29">
      <c r="C173" s="150"/>
      <c r="D173" s="150"/>
      <c r="E173" s="245">
        <f t="shared" si="4"/>
        <v>0</v>
      </c>
      <c r="F173" s="242">
        <v>199624868</v>
      </c>
      <c r="Q173" s="154"/>
      <c r="R173" s="154"/>
      <c r="S173" s="154"/>
    </row>
    <row r="174" spans="3:29">
      <c r="C174" s="150"/>
      <c r="D174" s="150"/>
      <c r="E174" s="245">
        <f t="shared" si="4"/>
        <v>0</v>
      </c>
      <c r="F174" s="241">
        <v>19684245</v>
      </c>
    </row>
    <row r="175" spans="3:29">
      <c r="C175" s="150"/>
      <c r="D175" s="150"/>
      <c r="E175" s="245">
        <f t="shared" si="4"/>
        <v>0</v>
      </c>
      <c r="F175" s="241">
        <v>77905425</v>
      </c>
      <c r="J175" s="150"/>
      <c r="K175" s="150"/>
    </row>
    <row r="176" spans="3:29">
      <c r="C176" s="150"/>
      <c r="D176" s="150"/>
      <c r="E176" s="245">
        <f t="shared" si="4"/>
        <v>0</v>
      </c>
      <c r="F176" s="241">
        <v>4441476</v>
      </c>
      <c r="J176" s="150"/>
      <c r="K176" s="150"/>
    </row>
    <row r="177" spans="3:11">
      <c r="C177" s="150"/>
      <c r="D177" s="150"/>
      <c r="E177" s="245">
        <f t="shared" si="4"/>
        <v>0</v>
      </c>
      <c r="F177" s="241">
        <v>4266433</v>
      </c>
      <c r="J177" s="150"/>
      <c r="K177" s="150"/>
    </row>
    <row r="178" spans="3:11">
      <c r="C178" s="150"/>
      <c r="D178" s="150"/>
      <c r="E178" s="245">
        <f t="shared" si="4"/>
        <v>0</v>
      </c>
      <c r="F178" s="241">
        <v>852429</v>
      </c>
      <c r="J178" s="150"/>
      <c r="K178" s="150"/>
    </row>
    <row r="179" spans="3:11">
      <c r="C179" s="150"/>
      <c r="D179" s="150"/>
      <c r="E179" s="245">
        <f t="shared" si="4"/>
        <v>0</v>
      </c>
      <c r="F179" s="241">
        <v>852429</v>
      </c>
      <c r="H179" s="154"/>
      <c r="J179" s="150"/>
      <c r="K179" s="150"/>
    </row>
    <row r="180" spans="3:11">
      <c r="C180" s="150"/>
      <c r="D180" s="150"/>
      <c r="E180" s="245">
        <f t="shared" si="4"/>
        <v>0</v>
      </c>
      <c r="F180" s="242">
        <v>112121856</v>
      </c>
      <c r="H180" s="154"/>
      <c r="J180" s="150"/>
      <c r="K180" s="150"/>
    </row>
    <row r="181" spans="3:11">
      <c r="C181" s="150"/>
      <c r="D181" s="150"/>
      <c r="E181" s="245">
        <f t="shared" si="4"/>
        <v>0</v>
      </c>
      <c r="F181" s="241">
        <v>95897725</v>
      </c>
      <c r="H181" s="154"/>
      <c r="J181" s="150"/>
      <c r="K181" s="150"/>
    </row>
    <row r="182" spans="3:11">
      <c r="C182" s="150"/>
      <c r="D182" s="150"/>
      <c r="E182" s="245">
        <f t="shared" si="4"/>
        <v>0</v>
      </c>
      <c r="F182" s="242">
        <v>611033945</v>
      </c>
      <c r="H182" s="154"/>
      <c r="J182" s="150"/>
      <c r="K182" s="150"/>
    </row>
    <row r="183" spans="3:11">
      <c r="C183" s="150"/>
      <c r="D183" s="150"/>
      <c r="F183" s="243"/>
      <c r="H183" s="154"/>
      <c r="J183" s="150"/>
      <c r="K183" s="150"/>
    </row>
    <row r="184" spans="3:11">
      <c r="H184" s="193" t="e">
        <f ca="1">[3]!terbilang(H183)</f>
        <v>#NAME?</v>
      </c>
      <c r="J184" s="150"/>
      <c r="K184" s="150"/>
    </row>
    <row r="185" spans="3:11">
      <c r="D185" s="193">
        <v>97846397</v>
      </c>
      <c r="E185" s="154">
        <v>2865371212</v>
      </c>
      <c r="F185" s="154">
        <v>89668307</v>
      </c>
      <c r="G185" s="154">
        <v>140646841</v>
      </c>
      <c r="H185" s="154"/>
      <c r="J185" s="150"/>
      <c r="K185" s="150"/>
    </row>
    <row r="186" spans="3:11">
      <c r="D186" s="193"/>
      <c r="E186" s="154"/>
      <c r="F186" s="154"/>
      <c r="G186" s="154"/>
      <c r="H186" s="154"/>
      <c r="J186" s="150"/>
      <c r="K186" s="150"/>
    </row>
    <row r="187" spans="3:11">
      <c r="D187" s="182" t="e">
        <f ca="1">[3]!terbilang(D185)</f>
        <v>#NAME?</v>
      </c>
      <c r="E187" s="193" t="e">
        <f ca="1">[3]!terbilang(E185)</f>
        <v>#NAME?</v>
      </c>
      <c r="F187" s="193" t="e">
        <f ca="1">[3]!terbilang(F185)</f>
        <v>#NAME?</v>
      </c>
      <c r="G187" s="193" t="e">
        <f ca="1">[3]!terbilang(G185)</f>
        <v>#NAME?</v>
      </c>
      <c r="H187" s="154"/>
      <c r="J187" s="150"/>
      <c r="K187" s="150"/>
    </row>
    <row r="188" spans="3:11">
      <c r="C188" s="150"/>
      <c r="D188" s="193"/>
      <c r="E188" s="154"/>
      <c r="F188" s="154"/>
      <c r="G188" s="154"/>
      <c r="H188" s="154"/>
      <c r="J188" s="150"/>
      <c r="K188" s="150"/>
    </row>
    <row r="189" spans="3:11">
      <c r="C189" s="150"/>
      <c r="D189" s="193">
        <v>14952300</v>
      </c>
      <c r="E189" s="154">
        <v>25686590</v>
      </c>
      <c r="F189" s="154">
        <v>12165006</v>
      </c>
      <c r="G189" s="154">
        <v>33728185</v>
      </c>
      <c r="H189" s="154"/>
      <c r="J189" s="150"/>
      <c r="K189" s="150"/>
    </row>
    <row r="190" spans="3:11">
      <c r="C190" s="150"/>
      <c r="D190" s="193" t="e">
        <f ca="1">[3]!terbilang(D189)</f>
        <v>#NAME?</v>
      </c>
      <c r="E190" s="193" t="e">
        <f ca="1">[3]!terbilang(E189)</f>
        <v>#NAME?</v>
      </c>
      <c r="F190" s="193" t="e">
        <f ca="1">[3]!terbilang(F189)</f>
        <v>#NAME?</v>
      </c>
      <c r="G190" s="193" t="e">
        <f ca="1">[3]!terbilang(G189)</f>
        <v>#NAME?</v>
      </c>
      <c r="H190" s="154"/>
      <c r="J190" s="150"/>
      <c r="K190" s="150"/>
    </row>
    <row r="191" spans="3:11">
      <c r="C191" s="150"/>
      <c r="D191" s="193"/>
      <c r="E191" s="193"/>
      <c r="F191" s="193"/>
      <c r="G191" s="193"/>
      <c r="H191" s="193" t="e">
        <f ca="1">[3]!terbilang(H189)</f>
        <v>#NAME?</v>
      </c>
      <c r="J191" s="150"/>
      <c r="K191" s="150"/>
    </row>
    <row r="192" spans="3:11">
      <c r="C192" s="150"/>
      <c r="D192" s="193">
        <v>48422213</v>
      </c>
      <c r="E192" s="154">
        <v>36753941</v>
      </c>
      <c r="F192" s="154">
        <v>31079686</v>
      </c>
      <c r="G192" s="154">
        <v>20004300</v>
      </c>
      <c r="H192" s="154"/>
      <c r="J192" s="150"/>
      <c r="K192" s="150"/>
    </row>
    <row r="193" spans="3:11">
      <c r="C193" s="150"/>
      <c r="D193" s="193"/>
      <c r="E193" s="154"/>
      <c r="F193" s="154"/>
      <c r="G193" s="154"/>
      <c r="H193" s="154"/>
      <c r="J193" s="150"/>
      <c r="K193" s="150"/>
    </row>
    <row r="194" spans="3:11">
      <c r="C194" s="150"/>
      <c r="D194" s="193" t="e">
        <f ca="1">[3]!terbilang(D192)</f>
        <v>#NAME?</v>
      </c>
      <c r="E194" s="193" t="e">
        <f ca="1">[3]!terbilang(E192)</f>
        <v>#NAME?</v>
      </c>
      <c r="F194" s="193" t="e">
        <f ca="1">[3]!terbilang(F192)</f>
        <v>#NAME?</v>
      </c>
      <c r="G194" s="193" t="e">
        <f ca="1">[3]!terbilang(G192)</f>
        <v>#NAME?</v>
      </c>
      <c r="H194" s="154"/>
      <c r="J194" s="150"/>
      <c r="K194" s="150"/>
    </row>
    <row r="195" spans="3:11">
      <c r="C195" s="150"/>
      <c r="D195" s="193">
        <v>59307925</v>
      </c>
      <c r="E195" s="154">
        <v>91714882</v>
      </c>
      <c r="F195" s="154">
        <v>50376375</v>
      </c>
      <c r="G195" s="154">
        <v>48653224</v>
      </c>
      <c r="H195" s="154"/>
      <c r="J195" s="150"/>
      <c r="K195" s="150"/>
    </row>
    <row r="196" spans="3:11">
      <c r="C196" s="150"/>
      <c r="D196" s="193"/>
      <c r="E196" s="154"/>
      <c r="F196" s="154"/>
      <c r="G196" s="154"/>
      <c r="H196" s="154"/>
      <c r="J196" s="150"/>
      <c r="K196" s="150"/>
    </row>
    <row r="197" spans="3:11">
      <c r="C197" s="150"/>
      <c r="D197" s="193" t="e">
        <f ca="1">[3]!terbilang(D195)</f>
        <v>#NAME?</v>
      </c>
      <c r="E197" s="193" t="e">
        <f ca="1">[3]!terbilang(E195)</f>
        <v>#NAME?</v>
      </c>
      <c r="F197" s="193" t="e">
        <f ca="1">[3]!terbilang(F195)</f>
        <v>#NAME?</v>
      </c>
      <c r="G197" s="193" t="e">
        <f ca="1">[3]!terbilang(G195)</f>
        <v>#NAME?</v>
      </c>
      <c r="J197" s="150"/>
      <c r="K197" s="150"/>
    </row>
    <row r="198" spans="3:11">
      <c r="C198" s="150"/>
      <c r="D198" s="193"/>
      <c r="E198" s="154"/>
      <c r="F198" s="154"/>
      <c r="G198" s="154"/>
      <c r="J198" s="150"/>
      <c r="K198" s="150"/>
    </row>
    <row r="199" spans="3:11">
      <c r="C199" s="150"/>
      <c r="D199" s="193"/>
      <c r="E199" s="154"/>
      <c r="F199" s="154"/>
      <c r="G199" s="154"/>
      <c r="J199" s="150"/>
      <c r="K199" s="150"/>
    </row>
    <row r="200" spans="3:11">
      <c r="C200" s="150"/>
      <c r="D200" s="193"/>
      <c r="E200" s="154"/>
      <c r="F200" s="154"/>
      <c r="G200" s="154"/>
      <c r="J200" s="150"/>
      <c r="K200" s="150"/>
    </row>
    <row r="201" spans="3:11">
      <c r="C201" s="150"/>
      <c r="D201" s="193"/>
      <c r="E201" s="154"/>
      <c r="F201" s="154"/>
      <c r="G201" s="154"/>
      <c r="J201" s="150"/>
      <c r="K201" s="150"/>
    </row>
    <row r="202" spans="3:11">
      <c r="C202" s="150"/>
      <c r="D202" s="193"/>
      <c r="E202" s="154" t="s">
        <v>108</v>
      </c>
      <c r="F202" s="154"/>
      <c r="G202" s="154"/>
      <c r="J202" s="150"/>
      <c r="K202" s="150"/>
    </row>
    <row r="204" spans="3:11">
      <c r="C204" s="150"/>
      <c r="D204" s="182" t="s">
        <v>112</v>
      </c>
      <c r="J204" s="150"/>
      <c r="K204" s="150"/>
    </row>
    <row r="205" spans="3:11">
      <c r="C205" s="150"/>
      <c r="E205" s="150" t="s">
        <v>111</v>
      </c>
      <c r="J205" s="150"/>
      <c r="K205" s="150"/>
    </row>
  </sheetData>
  <mergeCells count="30">
    <mergeCell ref="A86:B86"/>
    <mergeCell ref="AD93:AF93"/>
    <mergeCell ref="F95:G95"/>
    <mergeCell ref="H95:I95"/>
    <mergeCell ref="J95:K95"/>
    <mergeCell ref="R95:T95"/>
    <mergeCell ref="J103:K103"/>
    <mergeCell ref="L116:N116"/>
    <mergeCell ref="P116:R116"/>
    <mergeCell ref="S116:U116"/>
    <mergeCell ref="C4:AG4"/>
    <mergeCell ref="F96:G96"/>
    <mergeCell ref="H96:I96"/>
    <mergeCell ref="J96:K96"/>
    <mergeCell ref="R96:T96"/>
    <mergeCell ref="AD112:AE112"/>
    <mergeCell ref="AD113:AE113"/>
    <mergeCell ref="AD114:AE114"/>
    <mergeCell ref="AG93:AI93"/>
    <mergeCell ref="AG106:AH106"/>
    <mergeCell ref="AG107:AH107"/>
    <mergeCell ref="AG108:AH108"/>
    <mergeCell ref="AM93:AO93"/>
    <mergeCell ref="AM111:AN111"/>
    <mergeCell ref="AM112:AN112"/>
    <mergeCell ref="AM113:AN113"/>
    <mergeCell ref="AJ93:AL93"/>
    <mergeCell ref="AJ98:AK98"/>
    <mergeCell ref="AJ99:AK99"/>
    <mergeCell ref="AJ100:AK100"/>
  </mergeCells>
  <pageMargins left="0.7" right="0.7" top="0.75" bottom="0.75" header="0.3" footer="0.3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22"/>
  <sheetViews>
    <sheetView tabSelected="1" topLeftCell="A157" zoomScale="115" zoomScaleNormal="115" workbookViewId="0">
      <selection activeCell="W161" sqref="W161"/>
    </sheetView>
  </sheetViews>
  <sheetFormatPr defaultRowHeight="15.75"/>
  <cols>
    <col min="1" max="1" width="38.7109375" style="150" customWidth="1"/>
    <col min="2" max="2" width="11.28515625" style="150" customWidth="1"/>
    <col min="3" max="3" width="19.85546875" style="182" hidden="1" customWidth="1"/>
    <col min="4" max="4" width="20.7109375" style="182" hidden="1" customWidth="1"/>
    <col min="5" max="5" width="21.28515625" style="150" hidden="1" customWidth="1"/>
    <col min="6" max="6" width="19.85546875" style="150" hidden="1" customWidth="1"/>
    <col min="7" max="7" width="18.42578125" style="150" hidden="1" customWidth="1"/>
    <col min="8" max="8" width="22.140625" style="150" hidden="1" customWidth="1"/>
    <col min="9" max="9" width="21.42578125" style="150" hidden="1" customWidth="1"/>
    <col min="10" max="10" width="22.140625" style="182" hidden="1" customWidth="1"/>
    <col min="11" max="11" width="23" style="182" hidden="1" customWidth="1"/>
    <col min="12" max="12" width="20.28515625" style="150" hidden="1" customWidth="1"/>
    <col min="13" max="13" width="25.28515625" style="150" hidden="1" customWidth="1"/>
    <col min="14" max="14" width="19.28515625" style="150" hidden="1" customWidth="1"/>
    <col min="15" max="15" width="18.85546875" style="150" hidden="1" customWidth="1"/>
    <col min="16" max="16" width="20.7109375" style="150" hidden="1" customWidth="1"/>
    <col min="17" max="17" width="21.28515625" style="150" hidden="1" customWidth="1"/>
    <col min="18" max="18" width="23.28515625" style="150" hidden="1" customWidth="1"/>
    <col min="19" max="19" width="21.140625" style="150" hidden="1" customWidth="1"/>
    <col min="20" max="20" width="22" style="150" customWidth="1"/>
    <col min="21" max="21" width="19.5703125" style="150" customWidth="1"/>
    <col min="22" max="22" width="19.42578125" style="150" customWidth="1"/>
    <col min="23" max="23" width="22" style="150" customWidth="1"/>
    <col min="24" max="25" width="20.7109375" style="150" customWidth="1"/>
    <col min="26" max="26" width="25.140625" style="150" customWidth="1"/>
    <col min="27" max="27" width="21.7109375" style="150" customWidth="1"/>
    <col min="28" max="28" width="20.28515625" style="150" customWidth="1"/>
    <col min="29" max="29" width="18.5703125" style="150" customWidth="1"/>
    <col min="30" max="30" width="18.85546875" style="150" customWidth="1"/>
    <col min="31" max="31" width="19.85546875" style="150" customWidth="1"/>
    <col min="32" max="32" width="34.140625" style="150" bestFit="1" customWidth="1"/>
    <col min="33" max="33" width="21.7109375" style="150" customWidth="1"/>
    <col min="34" max="34" width="25" style="150" customWidth="1"/>
    <col min="35" max="35" width="20.28515625" style="150" customWidth="1"/>
    <col min="36" max="36" width="19.5703125" style="150" customWidth="1"/>
    <col min="37" max="37" width="27.140625" style="150" customWidth="1"/>
    <col min="38" max="38" width="19.140625" style="150" customWidth="1"/>
    <col min="39" max="39" width="23.7109375" style="150" customWidth="1"/>
    <col min="40" max="40" width="24.85546875" style="150" customWidth="1"/>
    <col min="41" max="41" width="19.28515625" style="150" customWidth="1"/>
    <col min="42" max="16384" width="9.140625" style="150"/>
  </cols>
  <sheetData>
    <row r="1" spans="1:36">
      <c r="A1" s="147" t="s">
        <v>0</v>
      </c>
      <c r="B1" s="148"/>
      <c r="C1" s="149"/>
      <c r="D1" s="149"/>
      <c r="E1" s="148"/>
      <c r="F1" s="148"/>
      <c r="G1" s="148"/>
      <c r="H1" s="148"/>
      <c r="I1" s="148"/>
      <c r="J1" s="149"/>
      <c r="K1" s="149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</row>
    <row r="2" spans="1:36" s="154" customFormat="1">
      <c r="A2" s="151" t="s">
        <v>1</v>
      </c>
      <c r="B2" s="152"/>
      <c r="C2" s="153"/>
      <c r="D2" s="153"/>
      <c r="E2" s="152"/>
      <c r="F2" s="152"/>
      <c r="G2" s="152"/>
      <c r="H2" s="152"/>
      <c r="I2" s="152"/>
      <c r="J2" s="153"/>
      <c r="K2" s="153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</row>
    <row r="3" spans="1:36">
      <c r="A3" s="155" t="s">
        <v>2</v>
      </c>
      <c r="B3" s="156">
        <v>44835</v>
      </c>
      <c r="C3" s="153"/>
      <c r="D3" s="153"/>
      <c r="E3" s="152"/>
      <c r="F3" s="152"/>
      <c r="G3" s="152"/>
      <c r="H3" s="152"/>
      <c r="I3" s="152"/>
      <c r="J3" s="153"/>
      <c r="K3" s="153"/>
      <c r="L3" s="152"/>
      <c r="M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</row>
    <row r="4" spans="1:36">
      <c r="A4" s="157" t="s">
        <v>3</v>
      </c>
      <c r="B4" s="158" t="s">
        <v>4</v>
      </c>
      <c r="C4" s="390" t="s">
        <v>5</v>
      </c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2"/>
      <c r="AH4" s="347"/>
      <c r="AI4" s="159" t="s">
        <v>6</v>
      </c>
      <c r="AJ4" s="154"/>
    </row>
    <row r="5" spans="1:36">
      <c r="A5" s="157"/>
      <c r="B5" s="158"/>
      <c r="C5" s="160">
        <v>44835</v>
      </c>
      <c r="D5" s="160">
        <v>44836</v>
      </c>
      <c r="E5" s="160">
        <v>44837</v>
      </c>
      <c r="F5" s="160">
        <v>44838</v>
      </c>
      <c r="G5" s="160">
        <v>44839</v>
      </c>
      <c r="H5" s="160">
        <v>44840</v>
      </c>
      <c r="I5" s="160">
        <v>44841</v>
      </c>
      <c r="J5" s="160">
        <v>44842</v>
      </c>
      <c r="K5" s="160">
        <v>44843</v>
      </c>
      <c r="L5" s="160">
        <v>44844</v>
      </c>
      <c r="M5" s="160">
        <v>44845</v>
      </c>
      <c r="N5" s="160">
        <v>44846</v>
      </c>
      <c r="O5" s="160">
        <v>44847</v>
      </c>
      <c r="P5" s="160">
        <v>44848</v>
      </c>
      <c r="Q5" s="160">
        <v>44849</v>
      </c>
      <c r="R5" s="160">
        <v>44850</v>
      </c>
      <c r="S5" s="160">
        <v>44851</v>
      </c>
      <c r="T5" s="160">
        <v>44852</v>
      </c>
      <c r="U5" s="160">
        <v>44853</v>
      </c>
      <c r="V5" s="160">
        <v>44854</v>
      </c>
      <c r="W5" s="160">
        <v>44855</v>
      </c>
      <c r="X5" s="160">
        <v>44856</v>
      </c>
      <c r="Y5" s="160">
        <v>44857</v>
      </c>
      <c r="Z5" s="160">
        <v>44858</v>
      </c>
      <c r="AA5" s="160">
        <v>44859</v>
      </c>
      <c r="AB5" s="160">
        <v>44860</v>
      </c>
      <c r="AC5" s="160">
        <v>44861</v>
      </c>
      <c r="AD5" s="160">
        <v>44862</v>
      </c>
      <c r="AE5" s="160">
        <v>44863</v>
      </c>
      <c r="AF5" s="160">
        <v>44864</v>
      </c>
      <c r="AG5" s="160">
        <v>44865</v>
      </c>
      <c r="AH5" s="160"/>
      <c r="AI5" s="159"/>
      <c r="AJ5" s="154"/>
    </row>
    <row r="6" spans="1:36">
      <c r="A6" s="161" t="s">
        <v>7</v>
      </c>
      <c r="B6" s="162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8"/>
      <c r="P6" s="175"/>
      <c r="Q6" s="175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3"/>
      <c r="AJ6" s="173"/>
    </row>
    <row r="7" spans="1:36" hidden="1">
      <c r="A7" s="258" t="s">
        <v>492</v>
      </c>
      <c r="B7" s="162"/>
      <c r="C7" s="273"/>
      <c r="D7" s="273"/>
      <c r="E7" s="273"/>
      <c r="F7" s="273">
        <v>2736558303</v>
      </c>
      <c r="G7" s="273"/>
      <c r="H7" s="273"/>
      <c r="I7" s="273"/>
      <c r="J7" s="167"/>
      <c r="K7" s="167"/>
      <c r="L7" s="167"/>
      <c r="M7" s="273"/>
      <c r="N7" s="168"/>
      <c r="O7" s="273"/>
      <c r="P7" s="172"/>
      <c r="Q7" s="171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163"/>
      <c r="AJ7" s="173"/>
    </row>
    <row r="8" spans="1:36" hidden="1">
      <c r="A8" s="166" t="s">
        <v>480</v>
      </c>
      <c r="B8" s="191"/>
      <c r="C8" s="273"/>
      <c r="D8" s="273"/>
      <c r="E8" s="273"/>
      <c r="F8" s="273"/>
      <c r="G8" s="273"/>
      <c r="H8" s="273"/>
      <c r="I8" s="171"/>
      <c r="J8" s="273"/>
      <c r="K8" s="273"/>
      <c r="L8" s="273"/>
      <c r="M8" s="273"/>
      <c r="N8" s="273"/>
      <c r="O8" s="273"/>
      <c r="P8" s="171"/>
      <c r="Q8" s="171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165"/>
      <c r="AJ8" s="173"/>
    </row>
    <row r="9" spans="1:36" hidden="1">
      <c r="A9" s="166" t="s">
        <v>701</v>
      </c>
      <c r="B9" s="191"/>
      <c r="C9" s="273"/>
      <c r="D9" s="273"/>
      <c r="E9" s="273"/>
      <c r="F9" s="273"/>
      <c r="G9" s="273"/>
      <c r="H9" s="273"/>
      <c r="I9" s="171"/>
      <c r="J9" s="273"/>
      <c r="K9" s="273"/>
      <c r="L9" s="273"/>
      <c r="M9" s="273"/>
      <c r="N9" s="273"/>
      <c r="O9" s="273"/>
      <c r="P9" s="171"/>
      <c r="Q9" s="171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165"/>
      <c r="AJ9" s="173"/>
    </row>
    <row r="10" spans="1:36" hidden="1">
      <c r="A10" s="166" t="s">
        <v>668</v>
      </c>
      <c r="B10" s="191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2"/>
      <c r="R10" s="175"/>
      <c r="S10" s="175"/>
      <c r="T10" s="171"/>
      <c r="U10" s="175"/>
      <c r="V10" s="175"/>
      <c r="W10" s="175"/>
      <c r="X10" s="175"/>
      <c r="Y10" s="175"/>
      <c r="Z10" s="175"/>
      <c r="AA10" s="171"/>
      <c r="AB10" s="175"/>
      <c r="AC10" s="175"/>
      <c r="AD10" s="175"/>
      <c r="AE10" s="175"/>
      <c r="AF10" s="175"/>
      <c r="AG10" s="175"/>
      <c r="AH10" s="175">
        <v>277790152</v>
      </c>
      <c r="AI10" s="165"/>
      <c r="AJ10" s="173"/>
    </row>
    <row r="11" spans="1:36" hidden="1">
      <c r="A11" s="166" t="s">
        <v>713</v>
      </c>
      <c r="B11" s="191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2"/>
      <c r="R11" s="175"/>
      <c r="S11" s="175"/>
      <c r="T11" s="171"/>
      <c r="U11" s="175"/>
      <c r="V11" s="175"/>
      <c r="W11" s="175"/>
      <c r="X11" s="175"/>
      <c r="Y11" s="175"/>
      <c r="Z11" s="175"/>
      <c r="AA11" s="171"/>
      <c r="AB11" s="175"/>
      <c r="AC11" s="175"/>
      <c r="AD11" s="175"/>
      <c r="AE11" s="175"/>
      <c r="AF11" s="175"/>
      <c r="AG11" s="175"/>
      <c r="AH11" s="175"/>
      <c r="AI11" s="165"/>
      <c r="AJ11" s="173"/>
    </row>
    <row r="12" spans="1:36" hidden="1">
      <c r="A12" s="166" t="s">
        <v>579</v>
      </c>
      <c r="B12" s="191"/>
      <c r="C12" s="171"/>
      <c r="D12" s="171"/>
      <c r="E12" s="171"/>
      <c r="F12" s="171"/>
      <c r="G12" s="171"/>
      <c r="H12" s="171"/>
      <c r="I12" s="171"/>
      <c r="J12" s="172"/>
      <c r="K12" s="171"/>
      <c r="L12" s="172"/>
      <c r="M12" s="171">
        <v>344331084</v>
      </c>
      <c r="N12" s="171"/>
      <c r="O12" s="171"/>
      <c r="P12" s="171"/>
      <c r="Q12" s="172"/>
      <c r="R12" s="171"/>
      <c r="S12" s="171"/>
      <c r="T12" s="171"/>
      <c r="U12" s="171"/>
      <c r="V12" s="171"/>
      <c r="W12" s="171"/>
      <c r="X12" s="171"/>
      <c r="Y12" s="171"/>
      <c r="Z12" s="175"/>
      <c r="AA12" s="171"/>
      <c r="AB12" s="171"/>
      <c r="AC12" s="171"/>
      <c r="AD12" s="171"/>
      <c r="AE12" s="171"/>
      <c r="AF12" s="171"/>
      <c r="AG12" s="171"/>
      <c r="AH12" s="171"/>
      <c r="AI12" s="165"/>
      <c r="AJ12" s="234"/>
    </row>
    <row r="13" spans="1:36" hidden="1">
      <c r="A13" s="166" t="s">
        <v>479</v>
      </c>
      <c r="B13" s="191"/>
      <c r="C13" s="171"/>
      <c r="D13" s="171"/>
      <c r="E13" s="171"/>
      <c r="F13" s="171"/>
      <c r="G13" s="171"/>
      <c r="H13" s="171"/>
      <c r="I13" s="175"/>
      <c r="J13" s="172"/>
      <c r="K13" s="171"/>
      <c r="L13" s="172">
        <v>102016778</v>
      </c>
      <c r="M13" s="171"/>
      <c r="N13" s="171"/>
      <c r="O13" s="171"/>
      <c r="P13" s="175"/>
      <c r="Q13" s="172"/>
      <c r="R13" s="171"/>
      <c r="S13" s="171"/>
      <c r="T13" s="171"/>
      <c r="U13" s="171"/>
      <c r="V13" s="171"/>
      <c r="W13" s="171"/>
      <c r="X13" s="171"/>
      <c r="Y13" s="171"/>
      <c r="Z13" s="171"/>
      <c r="AA13" s="175"/>
      <c r="AB13" s="171"/>
      <c r="AC13" s="171"/>
      <c r="AD13" s="171"/>
      <c r="AE13" s="171"/>
      <c r="AF13" s="171"/>
      <c r="AG13" s="171"/>
      <c r="AH13" s="171"/>
      <c r="AI13" s="165"/>
      <c r="AJ13" s="234"/>
    </row>
    <row r="14" spans="1:36" hidden="1">
      <c r="A14" s="166" t="s">
        <v>734</v>
      </c>
      <c r="B14" s="191"/>
      <c r="C14" s="171"/>
      <c r="D14" s="171"/>
      <c r="E14" s="171"/>
      <c r="F14" s="171"/>
      <c r="G14" s="171"/>
      <c r="H14" s="171"/>
      <c r="I14" s="175"/>
      <c r="J14" s="172"/>
      <c r="K14" s="171"/>
      <c r="L14" s="172"/>
      <c r="M14" s="171"/>
      <c r="N14" s="171"/>
      <c r="O14" s="171"/>
      <c r="P14" s="175"/>
      <c r="Q14" s="172"/>
      <c r="R14" s="171"/>
      <c r="S14" s="171"/>
      <c r="T14" s="171"/>
      <c r="U14" s="171"/>
      <c r="V14" s="171"/>
      <c r="W14" s="171"/>
      <c r="X14" s="171"/>
      <c r="Y14" s="171"/>
      <c r="Z14" s="171"/>
      <c r="AA14" s="175"/>
      <c r="AB14" s="171"/>
      <c r="AC14" s="171"/>
      <c r="AD14" s="171"/>
      <c r="AE14" s="171"/>
      <c r="AF14" s="171"/>
      <c r="AG14" s="171"/>
      <c r="AH14" s="171"/>
      <c r="AI14" s="165"/>
      <c r="AJ14" s="234"/>
    </row>
    <row r="15" spans="1:36" hidden="1">
      <c r="A15" s="166" t="s">
        <v>17</v>
      </c>
      <c r="B15" s="191"/>
      <c r="C15" s="171"/>
      <c r="D15" s="171"/>
      <c r="E15" s="171"/>
      <c r="F15" s="171"/>
      <c r="G15" s="171"/>
      <c r="H15" s="171"/>
      <c r="I15" s="171"/>
      <c r="J15" s="172"/>
      <c r="K15" s="171"/>
      <c r="L15" s="172"/>
      <c r="M15" s="171"/>
      <c r="N15" s="171"/>
      <c r="O15" s="171"/>
      <c r="P15" s="171"/>
      <c r="Q15" s="172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65"/>
      <c r="AJ15" s="234"/>
    </row>
    <row r="16" spans="1:36" hidden="1">
      <c r="A16" s="166" t="s">
        <v>18</v>
      </c>
      <c r="B16" s="191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171"/>
      <c r="Q16" s="172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165"/>
      <c r="AJ16" s="233"/>
    </row>
    <row r="17" spans="1:38" hidden="1">
      <c r="A17" s="166" t="s">
        <v>19</v>
      </c>
      <c r="B17" s="191"/>
      <c r="C17" s="273"/>
      <c r="D17" s="273"/>
      <c r="E17" s="273"/>
      <c r="F17" s="273"/>
      <c r="G17" s="273"/>
      <c r="H17" s="273"/>
      <c r="I17" s="273"/>
      <c r="J17" s="273"/>
      <c r="K17" s="168"/>
      <c r="L17" s="273"/>
      <c r="M17" s="273"/>
      <c r="N17" s="273"/>
      <c r="O17" s="273"/>
      <c r="P17" s="171"/>
      <c r="Q17" s="171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168"/>
      <c r="AC17" s="273"/>
      <c r="AD17" s="273"/>
      <c r="AE17" s="273"/>
      <c r="AF17" s="273"/>
      <c r="AG17" s="273"/>
      <c r="AH17" s="273"/>
      <c r="AI17" s="165"/>
      <c r="AJ17" s="233"/>
    </row>
    <row r="18" spans="1:38" hidden="1">
      <c r="A18" s="166" t="s">
        <v>750</v>
      </c>
      <c r="B18" s="191"/>
      <c r="C18" s="273"/>
      <c r="D18" s="167"/>
      <c r="E18" s="168"/>
      <c r="F18" s="167"/>
      <c r="G18" s="167"/>
      <c r="H18" s="167"/>
      <c r="I18" s="273"/>
      <c r="J18" s="273"/>
      <c r="K18" s="168"/>
      <c r="L18" s="273"/>
      <c r="M18" s="167"/>
      <c r="N18" s="167"/>
      <c r="O18" s="167"/>
      <c r="P18" s="171"/>
      <c r="Q18" s="171"/>
      <c r="R18" s="167"/>
      <c r="S18" s="167"/>
      <c r="T18" s="273"/>
      <c r="U18" s="167"/>
      <c r="V18" s="167"/>
      <c r="W18" s="273"/>
      <c r="X18" s="273"/>
      <c r="Y18" s="167"/>
      <c r="Z18" s="273"/>
      <c r="AA18" s="273"/>
      <c r="AB18" s="168"/>
      <c r="AC18" s="167"/>
      <c r="AD18" s="273"/>
      <c r="AE18" s="273"/>
      <c r="AF18" s="167"/>
      <c r="AG18" s="167"/>
      <c r="AH18" s="167">
        <v>49679999</v>
      </c>
      <c r="AI18" s="165"/>
      <c r="AJ18" s="233"/>
    </row>
    <row r="19" spans="1:38" hidden="1">
      <c r="A19" s="166" t="s">
        <v>530</v>
      </c>
      <c r="B19" s="191"/>
      <c r="C19" s="273"/>
      <c r="D19" s="167"/>
      <c r="E19" s="168">
        <f>192040235-22630780</f>
        <v>169409455</v>
      </c>
      <c r="F19" s="167"/>
      <c r="G19" s="167"/>
      <c r="H19" s="167"/>
      <c r="I19" s="273"/>
      <c r="J19" s="273"/>
      <c r="K19" s="168"/>
      <c r="L19" s="273"/>
      <c r="M19" s="167"/>
      <c r="N19" s="167"/>
      <c r="O19" s="167"/>
      <c r="P19" s="171"/>
      <c r="Q19" s="171"/>
      <c r="R19" s="167"/>
      <c r="S19" s="167"/>
      <c r="T19" s="273"/>
      <c r="U19" s="167"/>
      <c r="V19" s="167"/>
      <c r="W19" s="273"/>
      <c r="X19" s="273"/>
      <c r="Y19" s="167"/>
      <c r="Z19" s="273"/>
      <c r="AA19" s="273"/>
      <c r="AB19" s="168"/>
      <c r="AC19" s="167"/>
      <c r="AD19" s="273"/>
      <c r="AE19" s="273"/>
      <c r="AF19" s="167"/>
      <c r="AG19" s="167"/>
      <c r="AH19" s="167"/>
      <c r="AI19" s="165"/>
      <c r="AJ19" s="233"/>
    </row>
    <row r="20" spans="1:38" hidden="1">
      <c r="A20" s="166" t="s">
        <v>43</v>
      </c>
      <c r="B20" s="191"/>
      <c r="C20" s="273"/>
      <c r="D20" s="273"/>
      <c r="E20" s="168"/>
      <c r="F20" s="273"/>
      <c r="G20" s="273"/>
      <c r="H20" s="273"/>
      <c r="I20" s="171"/>
      <c r="J20" s="273"/>
      <c r="K20" s="168"/>
      <c r="L20" s="273"/>
      <c r="M20" s="273"/>
      <c r="N20" s="273"/>
      <c r="O20" s="273"/>
      <c r="P20" s="171"/>
      <c r="Q20" s="171"/>
      <c r="R20" s="273"/>
      <c r="S20" s="273"/>
      <c r="T20" s="273"/>
      <c r="U20" s="273"/>
      <c r="V20" s="273"/>
      <c r="W20" s="273"/>
      <c r="X20" s="273"/>
      <c r="Y20" s="273"/>
      <c r="Z20" s="273"/>
      <c r="AA20" s="171"/>
      <c r="AB20" s="168"/>
      <c r="AC20" s="273"/>
      <c r="AD20" s="273"/>
      <c r="AE20" s="273"/>
      <c r="AF20" s="273"/>
      <c r="AG20" s="273"/>
      <c r="AH20" s="273"/>
      <c r="AI20" s="165"/>
      <c r="AJ20" s="233"/>
    </row>
    <row r="21" spans="1:38" hidden="1">
      <c r="A21" s="166" t="s">
        <v>770</v>
      </c>
      <c r="B21" s="191"/>
      <c r="C21" s="273"/>
      <c r="D21" s="273"/>
      <c r="E21" s="273"/>
      <c r="F21" s="273"/>
      <c r="G21" s="273"/>
      <c r="H21" s="273"/>
      <c r="I21" s="171">
        <v>209211071</v>
      </c>
      <c r="J21" s="170"/>
      <c r="K21" s="273"/>
      <c r="L21" s="170"/>
      <c r="M21" s="273"/>
      <c r="N21" s="273"/>
      <c r="O21" s="273"/>
      <c r="P21" s="171"/>
      <c r="Q21" s="171"/>
      <c r="R21" s="273"/>
      <c r="S21" s="273"/>
      <c r="T21" s="171"/>
      <c r="U21" s="273"/>
      <c r="V21" s="273"/>
      <c r="W21" s="273"/>
      <c r="X21" s="273"/>
      <c r="Y21" s="273"/>
      <c r="Z21" s="171"/>
      <c r="AA21" s="171"/>
      <c r="AB21" s="168"/>
      <c r="AC21" s="273"/>
      <c r="AD21" s="273"/>
      <c r="AE21" s="273"/>
      <c r="AF21" s="273"/>
      <c r="AG21" s="273"/>
      <c r="AH21" s="273"/>
      <c r="AI21" s="165"/>
      <c r="AJ21" s="233"/>
    </row>
    <row r="22" spans="1:38" hidden="1">
      <c r="A22" s="166" t="s">
        <v>447</v>
      </c>
      <c r="B22" s="191"/>
      <c r="C22" s="273"/>
      <c r="D22" s="273"/>
      <c r="E22" s="273"/>
      <c r="F22" s="273"/>
      <c r="G22" s="273"/>
      <c r="H22" s="273"/>
      <c r="I22" s="171"/>
      <c r="J22" s="170"/>
      <c r="K22" s="273"/>
      <c r="L22" s="170"/>
      <c r="M22" s="273"/>
      <c r="N22" s="273"/>
      <c r="O22" s="273"/>
      <c r="P22" s="171"/>
      <c r="Q22" s="171"/>
      <c r="R22" s="273"/>
      <c r="S22" s="273"/>
      <c r="T22" s="170"/>
      <c r="U22" s="273"/>
      <c r="V22" s="273"/>
      <c r="W22" s="273"/>
      <c r="X22" s="273"/>
      <c r="Y22" s="273"/>
      <c r="Z22" s="171"/>
      <c r="AA22" s="171"/>
      <c r="AB22" s="168"/>
      <c r="AC22" s="273"/>
      <c r="AD22" s="273"/>
      <c r="AE22" s="273"/>
      <c r="AF22" s="273"/>
      <c r="AG22" s="273"/>
      <c r="AH22" s="273"/>
      <c r="AI22" s="165"/>
      <c r="AJ22" s="233"/>
    </row>
    <row r="23" spans="1:38" hidden="1">
      <c r="A23" s="166" t="s">
        <v>348</v>
      </c>
      <c r="B23" s="191"/>
      <c r="C23" s="171"/>
      <c r="D23" s="171"/>
      <c r="E23" s="171"/>
      <c r="F23" s="171"/>
      <c r="G23" s="171"/>
      <c r="H23" s="171"/>
      <c r="I23" s="171"/>
      <c r="J23" s="273"/>
      <c r="K23" s="171"/>
      <c r="L23" s="273"/>
      <c r="M23" s="171"/>
      <c r="N23" s="171"/>
      <c r="O23" s="171"/>
      <c r="P23" s="171"/>
      <c r="Q23" s="171"/>
      <c r="R23" s="171"/>
      <c r="S23" s="171"/>
      <c r="T23" s="273"/>
      <c r="U23" s="171"/>
      <c r="V23" s="171"/>
      <c r="W23" s="171"/>
      <c r="X23" s="171"/>
      <c r="Y23" s="171"/>
      <c r="Z23" s="273"/>
      <c r="AA23" s="171"/>
      <c r="AB23" s="171"/>
      <c r="AC23" s="171"/>
      <c r="AD23" s="171"/>
      <c r="AE23" s="171"/>
      <c r="AF23" s="171"/>
      <c r="AG23" s="171"/>
      <c r="AH23" s="171"/>
      <c r="AI23" s="165"/>
      <c r="AJ23" s="235"/>
    </row>
    <row r="24" spans="1:38" hidden="1">
      <c r="A24" s="166" t="s">
        <v>354</v>
      </c>
      <c r="B24" s="191"/>
      <c r="C24" s="171"/>
      <c r="D24" s="171"/>
      <c r="E24" s="171"/>
      <c r="F24" s="171">
        <v>98153584</v>
      </c>
      <c r="G24" s="171"/>
      <c r="H24" s="171"/>
      <c r="I24" s="273"/>
      <c r="J24" s="273"/>
      <c r="K24" s="171"/>
      <c r="L24" s="273"/>
      <c r="M24" s="171"/>
      <c r="N24" s="171"/>
      <c r="O24" s="171"/>
      <c r="P24" s="171"/>
      <c r="Q24" s="171"/>
      <c r="R24" s="171"/>
      <c r="S24" s="171"/>
      <c r="T24" s="273"/>
      <c r="U24" s="171"/>
      <c r="V24" s="171"/>
      <c r="W24" s="171"/>
      <c r="X24" s="171"/>
      <c r="Y24" s="171"/>
      <c r="Z24" s="273"/>
      <c r="AA24" s="273"/>
      <c r="AB24" s="171"/>
      <c r="AC24" s="171"/>
      <c r="AD24" s="171"/>
      <c r="AE24" s="171"/>
      <c r="AF24" s="171"/>
      <c r="AG24" s="171"/>
      <c r="AH24" s="171"/>
      <c r="AI24" s="165"/>
      <c r="AJ24" s="235"/>
    </row>
    <row r="25" spans="1:38" hidden="1">
      <c r="A25" s="166" t="s">
        <v>350</v>
      </c>
      <c r="B25" s="191"/>
      <c r="C25" s="171"/>
      <c r="D25" s="171"/>
      <c r="E25" s="171"/>
      <c r="F25" s="171"/>
      <c r="G25" s="171"/>
      <c r="H25" s="171"/>
      <c r="I25" s="273"/>
      <c r="J25" s="273"/>
      <c r="K25" s="171"/>
      <c r="L25" s="273"/>
      <c r="M25" s="171"/>
      <c r="N25" s="171"/>
      <c r="O25" s="171"/>
      <c r="P25" s="172"/>
      <c r="Q25" s="171"/>
      <c r="R25" s="171"/>
      <c r="S25" s="171"/>
      <c r="T25" s="273"/>
      <c r="U25" s="171"/>
      <c r="V25" s="171"/>
      <c r="W25" s="171"/>
      <c r="X25" s="171"/>
      <c r="Y25" s="171"/>
      <c r="Z25" s="273"/>
      <c r="AA25" s="273"/>
      <c r="AB25" s="171"/>
      <c r="AC25" s="171"/>
      <c r="AD25" s="171"/>
      <c r="AE25" s="171"/>
      <c r="AF25" s="171"/>
      <c r="AG25" s="171"/>
      <c r="AH25" s="171"/>
      <c r="AI25" s="165"/>
      <c r="AJ25" s="235"/>
    </row>
    <row r="26" spans="1:38" hidden="1">
      <c r="A26" s="166" t="s">
        <v>700</v>
      </c>
      <c r="B26" s="191"/>
      <c r="C26" s="172"/>
      <c r="D26" s="172"/>
      <c r="E26" s="172"/>
      <c r="F26" s="172"/>
      <c r="G26" s="172">
        <v>25999219</v>
      </c>
      <c r="H26" s="172"/>
      <c r="I26" s="273"/>
      <c r="J26" s="329"/>
      <c r="K26" s="172"/>
      <c r="L26" s="329"/>
      <c r="M26" s="172"/>
      <c r="N26" s="172"/>
      <c r="O26" s="172"/>
      <c r="P26" s="334"/>
      <c r="Q26" s="329"/>
      <c r="R26" s="172"/>
      <c r="S26" s="172"/>
      <c r="T26" s="329"/>
      <c r="U26" s="172"/>
      <c r="V26" s="172"/>
      <c r="W26" s="172"/>
      <c r="X26" s="172"/>
      <c r="Y26" s="172"/>
      <c r="Z26" s="329"/>
      <c r="AA26" s="329"/>
      <c r="AB26" s="172"/>
      <c r="AC26" s="172"/>
      <c r="AD26" s="172"/>
      <c r="AE26" s="172"/>
      <c r="AF26" s="172"/>
      <c r="AG26" s="172"/>
      <c r="AH26" s="172"/>
      <c r="AI26" s="165"/>
      <c r="AJ26" s="235"/>
    </row>
    <row r="27" spans="1:38" hidden="1">
      <c r="A27" s="166" t="s">
        <v>702</v>
      </c>
      <c r="B27" s="191"/>
      <c r="C27" s="329"/>
      <c r="D27" s="329"/>
      <c r="E27" s="329"/>
      <c r="F27" s="334"/>
      <c r="G27" s="334"/>
      <c r="H27" s="329"/>
      <c r="I27" s="273"/>
      <c r="J27" s="329"/>
      <c r="K27" s="329"/>
      <c r="L27" s="329"/>
      <c r="M27" s="329"/>
      <c r="N27" s="329"/>
      <c r="O27" s="329"/>
      <c r="P27" s="334"/>
      <c r="Q27" s="329"/>
      <c r="R27" s="329"/>
      <c r="S27" s="329"/>
      <c r="T27" s="329"/>
      <c r="U27" s="329"/>
      <c r="V27" s="329"/>
      <c r="W27" s="329"/>
      <c r="X27" s="329"/>
      <c r="Y27" s="329"/>
      <c r="Z27" s="334"/>
      <c r="AA27" s="334"/>
      <c r="AB27" s="329"/>
      <c r="AC27" s="329"/>
      <c r="AD27" s="334"/>
      <c r="AE27" s="329"/>
      <c r="AF27" s="329"/>
      <c r="AG27" s="329"/>
      <c r="AH27" s="329">
        <v>288712094</v>
      </c>
      <c r="AI27" s="165"/>
      <c r="AJ27" s="235"/>
    </row>
    <row r="28" spans="1:38" hidden="1">
      <c r="A28" s="166" t="s">
        <v>741</v>
      </c>
      <c r="B28" s="191"/>
      <c r="C28" s="329"/>
      <c r="D28" s="329"/>
      <c r="E28" s="329"/>
      <c r="F28" s="334"/>
      <c r="G28" s="334"/>
      <c r="H28" s="329"/>
      <c r="I28" s="273">
        <v>35143998</v>
      </c>
      <c r="J28" s="329"/>
      <c r="K28" s="334"/>
      <c r="L28" s="329"/>
      <c r="M28" s="329"/>
      <c r="N28" s="329"/>
      <c r="O28" s="329"/>
      <c r="P28" s="334"/>
      <c r="Q28" s="334"/>
      <c r="R28" s="329"/>
      <c r="S28" s="329"/>
      <c r="T28" s="329"/>
      <c r="U28" s="329"/>
      <c r="V28" s="329"/>
      <c r="W28" s="329"/>
      <c r="X28" s="329"/>
      <c r="Y28" s="329"/>
      <c r="Z28" s="334"/>
      <c r="AA28" s="334"/>
      <c r="AB28" s="329"/>
      <c r="AC28" s="329"/>
      <c r="AD28" s="334"/>
      <c r="AE28" s="329"/>
      <c r="AF28" s="329"/>
      <c r="AG28" s="329"/>
      <c r="AH28" s="329"/>
      <c r="AI28" s="165"/>
      <c r="AJ28" s="235"/>
    </row>
    <row r="29" spans="1:38" hidden="1">
      <c r="A29" s="166" t="s">
        <v>742</v>
      </c>
      <c r="B29" s="191"/>
      <c r="C29" s="329"/>
      <c r="D29" s="329"/>
      <c r="E29" s="329"/>
      <c r="F29" s="334"/>
      <c r="G29" s="334"/>
      <c r="H29" s="329"/>
      <c r="I29" s="273">
        <v>62449601</v>
      </c>
      <c r="J29" s="329"/>
      <c r="K29" s="334"/>
      <c r="L29" s="329"/>
      <c r="M29" s="329"/>
      <c r="N29" s="329"/>
      <c r="O29" s="329"/>
      <c r="P29" s="334"/>
      <c r="Q29" s="334"/>
      <c r="R29" s="329"/>
      <c r="S29" s="329"/>
      <c r="T29" s="329"/>
      <c r="U29" s="329"/>
      <c r="V29" s="329"/>
      <c r="W29" s="329"/>
      <c r="X29" s="329"/>
      <c r="Y29" s="329"/>
      <c r="Z29" s="334"/>
      <c r="AA29" s="334"/>
      <c r="AB29" s="329"/>
      <c r="AC29" s="329"/>
      <c r="AD29" s="334"/>
      <c r="AE29" s="329"/>
      <c r="AF29" s="329"/>
      <c r="AG29" s="329"/>
      <c r="AH29" s="329"/>
      <c r="AI29" s="165"/>
      <c r="AJ29" s="235"/>
    </row>
    <row r="30" spans="1:38" hidden="1">
      <c r="A30" s="166" t="s">
        <v>704</v>
      </c>
      <c r="B30" s="191"/>
      <c r="C30" s="329"/>
      <c r="D30" s="329"/>
      <c r="E30" s="329"/>
      <c r="F30" s="334"/>
      <c r="G30" s="334"/>
      <c r="H30" s="329"/>
      <c r="I30" s="273"/>
      <c r="J30" s="329"/>
      <c r="K30" s="329"/>
      <c r="L30" s="329"/>
      <c r="M30" s="329"/>
      <c r="N30" s="329"/>
      <c r="O30" s="329"/>
      <c r="P30" s="334"/>
      <c r="Q30" s="329"/>
      <c r="R30" s="329"/>
      <c r="S30" s="329"/>
      <c r="T30" s="329"/>
      <c r="U30" s="329"/>
      <c r="V30" s="329"/>
      <c r="W30" s="329"/>
      <c r="X30" s="329"/>
      <c r="Y30" s="329"/>
      <c r="Z30" s="334"/>
      <c r="AA30" s="334"/>
      <c r="AB30" s="329"/>
      <c r="AC30" s="329"/>
      <c r="AD30" s="334"/>
      <c r="AE30" s="329"/>
      <c r="AF30" s="329"/>
      <c r="AG30" s="329"/>
      <c r="AH30" s="329">
        <v>334823870</v>
      </c>
      <c r="AI30" s="165"/>
      <c r="AJ30" s="235"/>
    </row>
    <row r="31" spans="1:38" hidden="1">
      <c r="A31" s="166" t="s">
        <v>649</v>
      </c>
      <c r="B31" s="19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2"/>
      <c r="AA31" s="172"/>
      <c r="AB31" s="171"/>
      <c r="AC31" s="171"/>
      <c r="AD31" s="172"/>
      <c r="AE31" s="171"/>
      <c r="AF31" s="171"/>
      <c r="AG31" s="171"/>
      <c r="AH31" s="171"/>
      <c r="AI31" s="165"/>
      <c r="AJ31" s="234"/>
    </row>
    <row r="32" spans="1:38" hidden="1">
      <c r="A32" s="166" t="s">
        <v>576</v>
      </c>
      <c r="B32" s="191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>
        <v>103374298</v>
      </c>
      <c r="AI32" s="165"/>
      <c r="AJ32" s="234"/>
      <c r="AK32" s="184"/>
      <c r="AL32" s="186">
        <f>6325269+60889034</f>
        <v>67214303</v>
      </c>
    </row>
    <row r="33" spans="1:38" hidden="1">
      <c r="A33" s="187" t="s">
        <v>327</v>
      </c>
      <c r="B33" s="191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>
        <v>61709422</v>
      </c>
      <c r="AI33" s="165"/>
      <c r="AJ33" s="234"/>
      <c r="AK33" s="184"/>
      <c r="AL33" s="186"/>
    </row>
    <row r="34" spans="1:38" hidden="1">
      <c r="A34" s="187" t="s">
        <v>328</v>
      </c>
      <c r="B34" s="191"/>
      <c r="C34" s="175"/>
      <c r="D34" s="175"/>
      <c r="E34" s="175"/>
      <c r="F34" s="175"/>
      <c r="G34" s="172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>
        <v>316175655</v>
      </c>
      <c r="AI34" s="165"/>
      <c r="AJ34" s="234"/>
      <c r="AK34" s="184"/>
      <c r="AL34" s="185"/>
    </row>
    <row r="35" spans="1:38" hidden="1">
      <c r="A35" s="187" t="s">
        <v>330</v>
      </c>
      <c r="B35" s="191"/>
      <c r="C35" s="175"/>
      <c r="D35" s="175"/>
      <c r="E35" s="175"/>
      <c r="F35" s="175"/>
      <c r="G35" s="172"/>
      <c r="H35" s="175"/>
      <c r="I35" s="175"/>
      <c r="J35" s="175"/>
      <c r="K35" s="175"/>
      <c r="L35" s="175"/>
      <c r="M35" s="172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>
        <v>416002400</v>
      </c>
      <c r="AI35" s="165"/>
      <c r="AJ35" s="234">
        <f>SUM(AI32:AI35)</f>
        <v>0</v>
      </c>
      <c r="AK35" s="184"/>
      <c r="AL35" s="185"/>
    </row>
    <row r="36" spans="1:38" hidden="1">
      <c r="A36" s="166" t="s">
        <v>24</v>
      </c>
      <c r="B36" s="191"/>
      <c r="C36" s="171"/>
      <c r="D36" s="171"/>
      <c r="E36" s="171"/>
      <c r="F36" s="171"/>
      <c r="G36" s="172"/>
      <c r="H36" s="171"/>
      <c r="I36" s="171"/>
      <c r="J36" s="171"/>
      <c r="K36" s="171"/>
      <c r="L36" s="171">
        <f>289223740-2364502</f>
        <v>286859238</v>
      </c>
      <c r="M36" s="172"/>
      <c r="N36" s="172"/>
      <c r="O36" s="171"/>
      <c r="P36" s="172"/>
      <c r="Q36" s="171"/>
      <c r="R36" s="171"/>
      <c r="S36" s="171"/>
      <c r="T36" s="171"/>
      <c r="U36" s="172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65"/>
      <c r="AJ36" s="235"/>
      <c r="AK36" s="189"/>
    </row>
    <row r="37" spans="1:38" hidden="1">
      <c r="A37" s="166" t="s">
        <v>618</v>
      </c>
      <c r="B37" s="191"/>
      <c r="C37" s="175"/>
      <c r="D37" s="175"/>
      <c r="E37" s="175"/>
      <c r="F37" s="175"/>
      <c r="G37" s="172"/>
      <c r="H37" s="175"/>
      <c r="I37" s="175"/>
      <c r="J37" s="172"/>
      <c r="K37" s="175"/>
      <c r="L37" s="172"/>
      <c r="M37" s="172"/>
      <c r="N37" s="172"/>
      <c r="O37" s="175"/>
      <c r="P37" s="172">
        <f>8793408-2817859</f>
        <v>5975549</v>
      </c>
      <c r="Q37" s="175"/>
      <c r="R37" s="175"/>
      <c r="S37" s="175"/>
      <c r="T37" s="172"/>
      <c r="U37" s="172"/>
      <c r="V37" s="175"/>
      <c r="W37" s="175"/>
      <c r="X37" s="172"/>
      <c r="Y37" s="175"/>
      <c r="Z37" s="172"/>
      <c r="AA37" s="175"/>
      <c r="AB37" s="172"/>
      <c r="AC37" s="175"/>
      <c r="AD37" s="175"/>
      <c r="AE37" s="175"/>
      <c r="AF37" s="175"/>
      <c r="AG37" s="175"/>
      <c r="AH37" s="175"/>
      <c r="AI37" s="165"/>
      <c r="AJ37" s="234"/>
      <c r="AK37" s="189"/>
    </row>
    <row r="38" spans="1:38" hidden="1">
      <c r="A38" s="166" t="s">
        <v>493</v>
      </c>
      <c r="B38" s="191"/>
      <c r="C38" s="171"/>
      <c r="D38" s="171"/>
      <c r="E38" s="171"/>
      <c r="F38" s="171"/>
      <c r="G38" s="172"/>
      <c r="H38" s="171"/>
      <c r="I38" s="171"/>
      <c r="J38" s="171"/>
      <c r="K38" s="171"/>
      <c r="L38" s="171"/>
      <c r="M38" s="172"/>
      <c r="N38" s="172"/>
      <c r="O38" s="171"/>
      <c r="P38" s="172"/>
      <c r="Q38" s="171"/>
      <c r="R38" s="171"/>
      <c r="S38" s="171"/>
      <c r="T38" s="171"/>
      <c r="U38" s="172"/>
      <c r="V38" s="171"/>
      <c r="W38" s="171"/>
      <c r="X38" s="171"/>
      <c r="Y38" s="171"/>
      <c r="Z38" s="171"/>
      <c r="AA38" s="171"/>
      <c r="AB38" s="172"/>
      <c r="AC38" s="171"/>
      <c r="AD38" s="171"/>
      <c r="AE38" s="171"/>
      <c r="AF38" s="171"/>
      <c r="AG38" s="171"/>
      <c r="AH38" s="171"/>
      <c r="AI38" s="165"/>
      <c r="AJ38" s="234"/>
      <c r="AK38" s="189"/>
    </row>
    <row r="39" spans="1:38" hidden="1">
      <c r="A39" s="166" t="s">
        <v>333</v>
      </c>
      <c r="B39" s="191"/>
      <c r="C39" s="328"/>
      <c r="D39" s="328"/>
      <c r="E39" s="328"/>
      <c r="F39" s="328"/>
      <c r="G39" s="337"/>
      <c r="H39" s="328"/>
      <c r="I39" s="167"/>
      <c r="J39" s="328"/>
      <c r="K39" s="328"/>
      <c r="L39" s="328"/>
      <c r="M39" s="337"/>
      <c r="N39" s="337"/>
      <c r="O39" s="328"/>
      <c r="P39" s="329"/>
      <c r="Q39" s="329"/>
      <c r="R39" s="328"/>
      <c r="S39" s="328"/>
      <c r="T39" s="328"/>
      <c r="U39" s="328"/>
      <c r="V39" s="328"/>
      <c r="W39" s="328"/>
      <c r="X39" s="328"/>
      <c r="Y39" s="328"/>
      <c r="Z39" s="328"/>
      <c r="AA39" s="328"/>
      <c r="AB39" s="337"/>
      <c r="AC39" s="328"/>
      <c r="AD39" s="328"/>
      <c r="AE39" s="328"/>
      <c r="AF39" s="328"/>
      <c r="AG39" s="328"/>
      <c r="AH39" s="328">
        <v>61003007</v>
      </c>
      <c r="AI39" s="165"/>
      <c r="AJ39" s="233"/>
    </row>
    <row r="40" spans="1:38" hidden="1">
      <c r="A40" s="166" t="s">
        <v>539</v>
      </c>
      <c r="B40" s="191"/>
      <c r="C40" s="328"/>
      <c r="D40" s="328"/>
      <c r="E40" s="328"/>
      <c r="F40" s="328"/>
      <c r="G40" s="328"/>
      <c r="H40" s="328"/>
      <c r="I40" s="167"/>
      <c r="J40" s="328"/>
      <c r="K40" s="328"/>
      <c r="L40" s="328"/>
      <c r="M40" s="328"/>
      <c r="N40" s="328"/>
      <c r="O40" s="328"/>
      <c r="P40" s="329"/>
      <c r="Q40" s="329"/>
      <c r="R40" s="328"/>
      <c r="S40" s="328"/>
      <c r="T40" s="328"/>
      <c r="U40" s="328"/>
      <c r="V40" s="328"/>
      <c r="W40" s="328"/>
      <c r="X40" s="328"/>
      <c r="Y40" s="328"/>
      <c r="Z40" s="328"/>
      <c r="AA40" s="328"/>
      <c r="AB40" s="328"/>
      <c r="AC40" s="328"/>
      <c r="AD40" s="328"/>
      <c r="AE40" s="328"/>
      <c r="AF40" s="328"/>
      <c r="AG40" s="328"/>
      <c r="AH40" s="328">
        <f>127319117+12869993+149745116</f>
        <v>289934226</v>
      </c>
      <c r="AI40" s="165"/>
      <c r="AJ40" s="233"/>
    </row>
    <row r="41" spans="1:38" hidden="1">
      <c r="A41" s="166" t="s">
        <v>336</v>
      </c>
      <c r="B41" s="191"/>
      <c r="C41" s="328"/>
      <c r="D41" s="328"/>
      <c r="E41" s="328"/>
      <c r="F41" s="328"/>
      <c r="G41" s="337"/>
      <c r="H41" s="328"/>
      <c r="I41" s="167"/>
      <c r="J41" s="328"/>
      <c r="K41" s="328"/>
      <c r="L41" s="328"/>
      <c r="M41" s="328"/>
      <c r="N41" s="328"/>
      <c r="O41" s="328"/>
      <c r="P41" s="329"/>
      <c r="Q41" s="329"/>
      <c r="R41" s="328"/>
      <c r="S41" s="328"/>
      <c r="T41" s="328"/>
      <c r="U41" s="328"/>
      <c r="V41" s="328"/>
      <c r="W41" s="328"/>
      <c r="X41" s="328"/>
      <c r="Y41" s="328"/>
      <c r="Z41" s="328"/>
      <c r="AA41" s="328"/>
      <c r="AB41" s="328"/>
      <c r="AC41" s="328"/>
      <c r="AD41" s="328"/>
      <c r="AE41" s="328"/>
      <c r="AF41" s="328"/>
      <c r="AG41" s="328"/>
      <c r="AH41" s="328">
        <v>30744983</v>
      </c>
      <c r="AI41" s="165"/>
      <c r="AJ41" s="233">
        <f>SUM(AI39:AI41)</f>
        <v>0</v>
      </c>
    </row>
    <row r="42" spans="1:38" hidden="1">
      <c r="A42" s="166" t="s">
        <v>337</v>
      </c>
      <c r="B42" s="191"/>
      <c r="C42" s="168"/>
      <c r="D42" s="168"/>
      <c r="E42" s="168"/>
      <c r="F42" s="168">
        <v>79633134</v>
      </c>
      <c r="G42" s="168"/>
      <c r="H42" s="168">
        <v>35074494</v>
      </c>
      <c r="I42" s="273"/>
      <c r="J42" s="168"/>
      <c r="K42" s="168"/>
      <c r="L42" s="168">
        <v>38649240</v>
      </c>
      <c r="M42" s="168"/>
      <c r="N42" s="168">
        <v>150360714</v>
      </c>
      <c r="O42" s="168"/>
      <c r="P42" s="171"/>
      <c r="Q42" s="171"/>
      <c r="R42" s="168"/>
      <c r="S42" s="168"/>
      <c r="T42" s="273"/>
      <c r="U42" s="168"/>
      <c r="V42" s="168"/>
      <c r="W42" s="168"/>
      <c r="X42" s="168"/>
      <c r="Y42" s="168"/>
      <c r="Z42" s="273"/>
      <c r="AA42" s="273"/>
      <c r="AB42" s="168"/>
      <c r="AC42" s="168"/>
      <c r="AD42" s="168"/>
      <c r="AE42" s="168"/>
      <c r="AF42" s="168"/>
      <c r="AG42" s="168"/>
      <c r="AH42" s="168"/>
      <c r="AI42" s="165"/>
      <c r="AJ42" s="233"/>
    </row>
    <row r="43" spans="1:38" hidden="1">
      <c r="A43" s="166" t="s">
        <v>650</v>
      </c>
      <c r="B43" s="191"/>
      <c r="C43" s="168"/>
      <c r="D43" s="168"/>
      <c r="E43" s="168"/>
      <c r="F43" s="168"/>
      <c r="G43" s="337"/>
      <c r="H43" s="168"/>
      <c r="I43" s="273"/>
      <c r="J43" s="168"/>
      <c r="K43" s="168"/>
      <c r="L43" s="168"/>
      <c r="M43" s="168"/>
      <c r="N43" s="168"/>
      <c r="O43" s="168"/>
      <c r="P43" s="171"/>
      <c r="Q43" s="171"/>
      <c r="R43" s="168"/>
      <c r="S43" s="168"/>
      <c r="T43" s="273"/>
      <c r="U43" s="168"/>
      <c r="V43" s="168"/>
      <c r="W43" s="168"/>
      <c r="X43" s="168"/>
      <c r="Y43" s="168"/>
      <c r="Z43" s="273"/>
      <c r="AA43" s="273"/>
      <c r="AB43" s="168"/>
      <c r="AC43" s="168"/>
      <c r="AD43" s="168"/>
      <c r="AE43" s="168"/>
      <c r="AF43" s="168"/>
      <c r="AG43" s="168"/>
      <c r="AH43" s="168"/>
      <c r="AI43" s="165"/>
      <c r="AJ43" s="233"/>
    </row>
    <row r="44" spans="1:38" hidden="1">
      <c r="A44" s="166" t="s">
        <v>672</v>
      </c>
      <c r="B44" s="191"/>
      <c r="C44" s="328"/>
      <c r="D44" s="328"/>
      <c r="E44" s="328"/>
      <c r="F44" s="328"/>
      <c r="G44" s="337"/>
      <c r="H44" s="328"/>
      <c r="I44" s="167"/>
      <c r="J44" s="328"/>
      <c r="K44" s="328"/>
      <c r="L44" s="328"/>
      <c r="M44" s="328"/>
      <c r="N44" s="328"/>
      <c r="O44" s="328"/>
      <c r="P44" s="329"/>
      <c r="Q44" s="329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8">
        <v>108652171</v>
      </c>
      <c r="AI44" s="165"/>
      <c r="AJ44" s="233"/>
    </row>
    <row r="45" spans="1:38" hidden="1">
      <c r="A45" s="166" t="s">
        <v>673</v>
      </c>
      <c r="B45" s="191"/>
      <c r="C45" s="328"/>
      <c r="D45" s="328"/>
      <c r="E45" s="328"/>
      <c r="F45" s="328"/>
      <c r="G45" s="337"/>
      <c r="H45" s="328"/>
      <c r="I45" s="167"/>
      <c r="J45" s="328"/>
      <c r="K45" s="328"/>
      <c r="L45" s="328"/>
      <c r="M45" s="328"/>
      <c r="N45" s="328"/>
      <c r="O45" s="328"/>
      <c r="P45" s="329"/>
      <c r="Q45" s="329"/>
      <c r="R45" s="328"/>
      <c r="S45" s="328"/>
      <c r="T45" s="328"/>
      <c r="U45" s="328"/>
      <c r="V45" s="328"/>
      <c r="W45" s="328"/>
      <c r="X45" s="328"/>
      <c r="Y45" s="328"/>
      <c r="Z45" s="328"/>
      <c r="AA45" s="328"/>
      <c r="AB45" s="328"/>
      <c r="AC45" s="328"/>
      <c r="AD45" s="328"/>
      <c r="AE45" s="328"/>
      <c r="AF45" s="328"/>
      <c r="AG45" s="328"/>
      <c r="AH45" s="328">
        <v>572491141</v>
      </c>
      <c r="AI45" s="165"/>
      <c r="AJ45" s="233"/>
    </row>
    <row r="46" spans="1:38" hidden="1">
      <c r="A46" s="166" t="s">
        <v>674</v>
      </c>
      <c r="B46" s="191"/>
      <c r="C46" s="328"/>
      <c r="D46" s="328"/>
      <c r="E46" s="328"/>
      <c r="F46" s="328"/>
      <c r="G46" s="337"/>
      <c r="H46" s="328"/>
      <c r="I46" s="167"/>
      <c r="J46" s="328"/>
      <c r="K46" s="328"/>
      <c r="L46" s="328"/>
      <c r="M46" s="328"/>
      <c r="N46" s="328"/>
      <c r="O46" s="328"/>
      <c r="P46" s="329"/>
      <c r="Q46" s="329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328">
        <v>97350602</v>
      </c>
      <c r="AI46" s="165"/>
      <c r="AJ46" s="233"/>
    </row>
    <row r="47" spans="1:38" hidden="1">
      <c r="A47" s="166" t="s">
        <v>27</v>
      </c>
      <c r="B47" s="191"/>
      <c r="C47" s="273"/>
      <c r="D47" s="273"/>
      <c r="E47" s="273">
        <v>207705000</v>
      </c>
      <c r="F47" s="273"/>
      <c r="G47" s="273"/>
      <c r="H47" s="273"/>
      <c r="I47" s="171"/>
      <c r="J47" s="273"/>
      <c r="K47" s="273"/>
      <c r="L47" s="273"/>
      <c r="M47" s="273"/>
      <c r="N47" s="273"/>
      <c r="O47" s="273"/>
      <c r="P47" s="171"/>
      <c r="Q47" s="171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165"/>
      <c r="AJ47" s="233"/>
    </row>
    <row r="48" spans="1:38">
      <c r="A48" s="166" t="s">
        <v>894</v>
      </c>
      <c r="B48" s="191"/>
      <c r="C48" s="171"/>
      <c r="D48" s="171"/>
      <c r="E48" s="171">
        <v>2888235002</v>
      </c>
      <c r="F48" s="171">
        <v>1218824395</v>
      </c>
      <c r="G48" s="171">
        <v>807145183</v>
      </c>
      <c r="H48" s="171"/>
      <c r="I48" s="171">
        <v>1225720836</v>
      </c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>
        <v>783310187</v>
      </c>
      <c r="U48" s="175">
        <v>3989776716</v>
      </c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65"/>
      <c r="AJ48" s="170"/>
    </row>
    <row r="49" spans="1:36" hidden="1">
      <c r="A49" s="166" t="s">
        <v>347</v>
      </c>
      <c r="B49" s="191"/>
      <c r="C49" s="171"/>
      <c r="D49" s="171"/>
      <c r="E49" s="171"/>
      <c r="F49" s="171"/>
      <c r="G49" s="171"/>
      <c r="H49" s="171"/>
      <c r="I49" s="171"/>
      <c r="J49" s="273"/>
      <c r="K49" s="171"/>
      <c r="L49" s="273">
        <v>39599916</v>
      </c>
      <c r="M49" s="171"/>
      <c r="N49" s="171"/>
      <c r="O49" s="171">
        <v>59399874</v>
      </c>
      <c r="P49" s="171"/>
      <c r="Q49" s="171"/>
      <c r="R49" s="171"/>
      <c r="S49" s="171"/>
      <c r="T49" s="170"/>
      <c r="U49" s="171"/>
      <c r="V49" s="171"/>
      <c r="W49" s="171"/>
      <c r="X49" s="171"/>
      <c r="Y49" s="171"/>
      <c r="Z49" s="273"/>
      <c r="AA49" s="273"/>
      <c r="AB49" s="171"/>
      <c r="AC49" s="171"/>
      <c r="AD49" s="171"/>
      <c r="AE49" s="171"/>
      <c r="AF49" s="171"/>
      <c r="AG49" s="171"/>
      <c r="AH49" s="171"/>
      <c r="AI49" s="165"/>
      <c r="AJ49" s="170"/>
    </row>
    <row r="50" spans="1:36" hidden="1">
      <c r="A50" s="192" t="s">
        <v>476</v>
      </c>
      <c r="B50" s="191"/>
      <c r="C50" s="171"/>
      <c r="D50" s="171"/>
      <c r="E50" s="171">
        <v>3500000</v>
      </c>
      <c r="F50" s="171"/>
      <c r="G50" s="171"/>
      <c r="H50" s="172"/>
      <c r="I50" s="171"/>
      <c r="J50" s="273"/>
      <c r="K50" s="171"/>
      <c r="L50" s="273"/>
      <c r="M50" s="171"/>
      <c r="N50" s="171"/>
      <c r="O50" s="171"/>
      <c r="P50" s="171"/>
      <c r="Q50" s="171"/>
      <c r="R50" s="171"/>
      <c r="S50" s="171"/>
      <c r="T50" s="273"/>
      <c r="U50" s="171"/>
      <c r="V50" s="171"/>
      <c r="W50" s="171"/>
      <c r="X50" s="172"/>
      <c r="Y50" s="171"/>
      <c r="Z50" s="273"/>
      <c r="AA50" s="273"/>
      <c r="AB50" s="171"/>
      <c r="AC50" s="171"/>
      <c r="AD50" s="171"/>
      <c r="AE50" s="171"/>
      <c r="AF50" s="171"/>
      <c r="AG50" s="171"/>
      <c r="AH50" s="171"/>
      <c r="AI50" s="165"/>
      <c r="AJ50" s="167"/>
    </row>
    <row r="51" spans="1:36" hidden="1">
      <c r="A51" s="192" t="s">
        <v>693</v>
      </c>
      <c r="B51" s="191"/>
      <c r="C51" s="175"/>
      <c r="D51" s="175"/>
      <c r="E51" s="175"/>
      <c r="F51" s="175"/>
      <c r="G51" s="172">
        <f>500000000+500000000</f>
        <v>1000000000</v>
      </c>
      <c r="H51" s="172">
        <v>500000000</v>
      </c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>
        <v>633125209</v>
      </c>
      <c r="AI51" s="165"/>
      <c r="AJ51" s="167"/>
    </row>
    <row r="52" spans="1:36" hidden="1">
      <c r="A52" s="192" t="s">
        <v>670</v>
      </c>
      <c r="B52" s="191"/>
      <c r="C52" s="175"/>
      <c r="D52" s="175"/>
      <c r="E52" s="175"/>
      <c r="F52" s="175"/>
      <c r="G52" s="175"/>
      <c r="H52" s="172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2"/>
      <c r="Y52" s="175"/>
      <c r="Z52" s="175"/>
      <c r="AA52" s="175"/>
      <c r="AB52" s="175"/>
      <c r="AC52" s="175"/>
      <c r="AD52" s="175"/>
      <c r="AE52" s="175"/>
      <c r="AF52" s="175"/>
      <c r="AG52" s="175"/>
      <c r="AH52" s="175">
        <f>35000000*5</f>
        <v>175000000</v>
      </c>
      <c r="AI52" s="165"/>
      <c r="AJ52" s="167"/>
    </row>
    <row r="53" spans="1:36" hidden="1">
      <c r="A53" s="192" t="s">
        <v>213</v>
      </c>
      <c r="B53" s="191"/>
      <c r="C53" s="273"/>
      <c r="D53" s="273"/>
      <c r="E53" s="273">
        <v>1000000000</v>
      </c>
      <c r="F53" s="273"/>
      <c r="G53" s="273"/>
      <c r="H53" s="273"/>
      <c r="I53" s="273"/>
      <c r="J53" s="273"/>
      <c r="K53" s="273"/>
      <c r="L53" s="273">
        <v>500000000</v>
      </c>
      <c r="M53" s="273"/>
      <c r="N53" s="273"/>
      <c r="O53" s="273"/>
      <c r="P53" s="171"/>
      <c r="Q53" s="171"/>
      <c r="R53" s="273"/>
      <c r="S53" s="273">
        <v>1500000000</v>
      </c>
      <c r="T53" s="273"/>
      <c r="U53" s="273"/>
      <c r="V53" s="273"/>
      <c r="W53" s="273"/>
      <c r="X53" s="273"/>
      <c r="Y53" s="273"/>
      <c r="Z53" s="273"/>
      <c r="AA53" s="273"/>
      <c r="AB53" s="273"/>
      <c r="AC53" s="273"/>
      <c r="AD53" s="273"/>
      <c r="AE53" s="273"/>
      <c r="AF53" s="273"/>
      <c r="AG53" s="273"/>
      <c r="AH53" s="273"/>
      <c r="AI53" s="165"/>
      <c r="AJ53" s="167"/>
    </row>
    <row r="54" spans="1:36" hidden="1">
      <c r="A54" s="192" t="s">
        <v>705</v>
      </c>
      <c r="B54" s="191"/>
      <c r="C54" s="273"/>
      <c r="D54" s="273"/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171"/>
      <c r="Q54" s="171"/>
      <c r="R54" s="273"/>
      <c r="S54" s="273"/>
      <c r="T54" s="273"/>
      <c r="U54" s="273"/>
      <c r="V54" s="273"/>
      <c r="W54" s="273"/>
      <c r="X54" s="273"/>
      <c r="Y54" s="273"/>
      <c r="Z54" s="273"/>
      <c r="AA54" s="273"/>
      <c r="AB54" s="273"/>
      <c r="AC54" s="273"/>
      <c r="AD54" s="273"/>
      <c r="AE54" s="273"/>
      <c r="AF54" s="273"/>
      <c r="AG54" s="273"/>
      <c r="AH54" s="273"/>
      <c r="AI54" s="165"/>
      <c r="AJ54" s="167"/>
    </row>
    <row r="55" spans="1:36" hidden="1">
      <c r="A55" s="192" t="s">
        <v>613</v>
      </c>
      <c r="B55" s="191"/>
      <c r="C55" s="273"/>
      <c r="D55" s="273"/>
      <c r="E55" s="273"/>
      <c r="F55" s="273"/>
      <c r="G55" s="273"/>
      <c r="H55" s="273">
        <v>14092204</v>
      </c>
      <c r="I55" s="273"/>
      <c r="J55" s="273"/>
      <c r="K55" s="273"/>
      <c r="L55" s="273"/>
      <c r="M55" s="273"/>
      <c r="N55" s="273"/>
      <c r="O55" s="273"/>
      <c r="P55" s="171"/>
      <c r="Q55" s="171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  <c r="AF55" s="273"/>
      <c r="AG55" s="273"/>
      <c r="AH55" s="273"/>
      <c r="AI55" s="165"/>
      <c r="AJ55" s="167"/>
    </row>
    <row r="56" spans="1:36">
      <c r="A56" s="192" t="s">
        <v>119</v>
      </c>
      <c r="B56" s="191"/>
      <c r="C56" s="175"/>
      <c r="D56" s="172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>
        <f>5000000000</f>
        <v>5000000000</v>
      </c>
      <c r="U56" s="175"/>
      <c r="V56" s="175"/>
      <c r="W56" s="175"/>
      <c r="X56" s="172"/>
      <c r="Y56" s="175"/>
      <c r="Z56" s="175"/>
      <c r="AA56" s="175"/>
      <c r="AB56" s="175"/>
      <c r="AC56" s="175"/>
      <c r="AD56" s="175"/>
      <c r="AE56" s="175"/>
      <c r="AF56" s="175"/>
      <c r="AG56" s="175"/>
      <c r="AH56" s="175">
        <v>1240000000</v>
      </c>
      <c r="AI56" s="165"/>
      <c r="AJ56" s="175"/>
    </row>
    <row r="57" spans="1:36">
      <c r="A57" s="195" t="s">
        <v>32</v>
      </c>
      <c r="B57" s="196"/>
      <c r="C57" s="197">
        <f>SUM(C7:C56)</f>
        <v>0</v>
      </c>
      <c r="D57" s="197">
        <f t="shared" ref="D57:AI57" si="0">SUM(D7:D56)</f>
        <v>0</v>
      </c>
      <c r="E57" s="197">
        <f t="shared" si="0"/>
        <v>4268849457</v>
      </c>
      <c r="F57" s="197">
        <f t="shared" si="0"/>
        <v>4133169416</v>
      </c>
      <c r="G57" s="197">
        <f t="shared" si="0"/>
        <v>1833144402</v>
      </c>
      <c r="H57" s="197">
        <f t="shared" si="0"/>
        <v>549166698</v>
      </c>
      <c r="I57" s="197">
        <f t="shared" si="0"/>
        <v>1532525506</v>
      </c>
      <c r="J57" s="197">
        <f t="shared" si="0"/>
        <v>0</v>
      </c>
      <c r="K57" s="197">
        <f>SUM(K7:K56)</f>
        <v>0</v>
      </c>
      <c r="L57" s="197">
        <f t="shared" si="0"/>
        <v>967125172</v>
      </c>
      <c r="M57" s="197">
        <f t="shared" si="0"/>
        <v>344331084</v>
      </c>
      <c r="N57" s="197">
        <f>SUM(N7:N56)</f>
        <v>150360714</v>
      </c>
      <c r="O57" s="197">
        <f t="shared" si="0"/>
        <v>59399874</v>
      </c>
      <c r="P57" s="371">
        <f t="shared" si="0"/>
        <v>5975549</v>
      </c>
      <c r="Q57" s="371">
        <f t="shared" si="0"/>
        <v>0</v>
      </c>
      <c r="R57" s="197">
        <f t="shared" si="0"/>
        <v>0</v>
      </c>
      <c r="S57" s="197">
        <f t="shared" si="0"/>
        <v>1500000000</v>
      </c>
      <c r="T57" s="197">
        <f>SUM(T7:T56)</f>
        <v>5783310187</v>
      </c>
      <c r="U57" s="197">
        <f t="shared" si="0"/>
        <v>3989776716</v>
      </c>
      <c r="V57" s="197">
        <f t="shared" si="0"/>
        <v>0</v>
      </c>
      <c r="W57" s="197">
        <f t="shared" si="0"/>
        <v>0</v>
      </c>
      <c r="X57" s="197">
        <f>SUM(X7:X56)</f>
        <v>0</v>
      </c>
      <c r="Y57" s="197">
        <f t="shared" si="0"/>
        <v>0</v>
      </c>
      <c r="Z57" s="197">
        <f t="shared" si="0"/>
        <v>0</v>
      </c>
      <c r="AA57" s="197">
        <f t="shared" si="0"/>
        <v>0</v>
      </c>
      <c r="AB57" s="197">
        <f t="shared" si="0"/>
        <v>0</v>
      </c>
      <c r="AC57" s="197">
        <f t="shared" si="0"/>
        <v>0</v>
      </c>
      <c r="AD57" s="197">
        <f t="shared" si="0"/>
        <v>0</v>
      </c>
      <c r="AE57" s="197">
        <f t="shared" si="0"/>
        <v>0</v>
      </c>
      <c r="AF57" s="197">
        <f t="shared" si="0"/>
        <v>0</v>
      </c>
      <c r="AG57" s="197">
        <f t="shared" si="0"/>
        <v>0</v>
      </c>
      <c r="AH57" s="197">
        <f t="shared" si="0"/>
        <v>5056569229</v>
      </c>
      <c r="AI57" s="197">
        <f t="shared" si="0"/>
        <v>0</v>
      </c>
    </row>
    <row r="58" spans="1:36">
      <c r="A58" s="199"/>
      <c r="B58" s="162"/>
      <c r="C58" s="190">
        <v>0</v>
      </c>
      <c r="D58" s="190">
        <v>0</v>
      </c>
      <c r="E58" s="190">
        <v>0</v>
      </c>
      <c r="F58" s="165"/>
      <c r="G58" s="165"/>
      <c r="H58" s="165"/>
      <c r="I58" s="165"/>
      <c r="J58" s="200"/>
      <c r="K58" s="200"/>
      <c r="L58" s="165"/>
      <c r="M58" s="165"/>
      <c r="N58" s="165"/>
      <c r="O58" s="200"/>
      <c r="P58" s="314"/>
      <c r="Q58" s="314"/>
      <c r="R58" s="165"/>
      <c r="S58" s="165"/>
      <c r="T58" s="165"/>
      <c r="U58" s="165"/>
      <c r="V58" s="165"/>
      <c r="W58" s="190">
        <v>0</v>
      </c>
      <c r="X58" s="190">
        <v>0</v>
      </c>
      <c r="Y58" s="190">
        <v>0</v>
      </c>
      <c r="Z58" s="190">
        <v>0</v>
      </c>
      <c r="AA58" s="190">
        <v>0</v>
      </c>
      <c r="AB58" s="190">
        <v>0</v>
      </c>
      <c r="AC58" s="165"/>
      <c r="AD58" s="165"/>
      <c r="AE58" s="165"/>
      <c r="AF58" s="165"/>
      <c r="AG58" s="165"/>
      <c r="AH58" s="165"/>
      <c r="AI58" s="201"/>
      <c r="AJ58" s="154"/>
    </row>
    <row r="59" spans="1:36">
      <c r="A59" s="202" t="s">
        <v>33</v>
      </c>
      <c r="B59" s="162"/>
      <c r="C59" s="165"/>
      <c r="D59" s="200"/>
      <c r="E59" s="200"/>
      <c r="F59" s="165"/>
      <c r="G59" s="165"/>
      <c r="H59" s="165"/>
      <c r="I59" s="165"/>
      <c r="J59" s="200"/>
      <c r="K59" s="200"/>
      <c r="L59" s="165"/>
      <c r="M59" s="165"/>
      <c r="N59" s="165"/>
      <c r="O59" s="200"/>
      <c r="P59" s="314"/>
      <c r="Q59" s="314"/>
      <c r="R59" s="165"/>
      <c r="S59" s="165"/>
      <c r="T59" s="165"/>
      <c r="U59" s="165"/>
      <c r="V59" s="165"/>
      <c r="W59" s="165"/>
      <c r="X59" s="165"/>
      <c r="Y59" s="165"/>
      <c r="Z59" s="165"/>
      <c r="AA59" s="200"/>
      <c r="AB59" s="200"/>
      <c r="AC59" s="165"/>
      <c r="AD59" s="165"/>
      <c r="AE59" s="165"/>
      <c r="AF59" s="165"/>
      <c r="AG59" s="165"/>
      <c r="AH59" s="165"/>
      <c r="AI59" s="201">
        <f t="shared" ref="AI59:AI84" si="1">SUM(B59:AG59)</f>
        <v>0</v>
      </c>
      <c r="AJ59" s="154"/>
    </row>
    <row r="60" spans="1:36" hidden="1">
      <c r="A60" s="203" t="s">
        <v>34</v>
      </c>
      <c r="B60" s="204"/>
      <c r="C60" s="164"/>
      <c r="D60" s="164"/>
      <c r="E60" s="164"/>
      <c r="F60" s="164"/>
      <c r="G60" s="164"/>
      <c r="H60" s="164">
        <v>2765908812</v>
      </c>
      <c r="I60" s="164"/>
      <c r="J60" s="164"/>
      <c r="K60" s="164"/>
      <c r="L60" s="164"/>
      <c r="M60" s="164"/>
      <c r="N60" s="164"/>
      <c r="O60" s="208">
        <v>1840806851</v>
      </c>
      <c r="P60" s="208"/>
      <c r="Q60" s="314"/>
      <c r="R60" s="164"/>
      <c r="S60" s="164"/>
      <c r="T60" s="164"/>
      <c r="U60" s="306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90"/>
      <c r="AI60" s="201">
        <f t="shared" si="1"/>
        <v>4606715663</v>
      </c>
      <c r="AJ60" s="173"/>
    </row>
    <row r="61" spans="1:36" hidden="1">
      <c r="A61" s="203" t="s">
        <v>34</v>
      </c>
      <c r="B61" s="20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208"/>
      <c r="P61" s="208"/>
      <c r="Q61" s="208"/>
      <c r="R61" s="164"/>
      <c r="S61" s="164"/>
      <c r="T61" s="164"/>
      <c r="U61" s="306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90"/>
      <c r="AI61" s="201"/>
      <c r="AJ61" s="173"/>
    </row>
    <row r="62" spans="1:36" hidden="1">
      <c r="A62" s="203" t="s">
        <v>198</v>
      </c>
      <c r="B62" s="204"/>
      <c r="C62" s="164"/>
      <c r="D62" s="164"/>
      <c r="E62" s="164"/>
      <c r="F62" s="164"/>
      <c r="G62" s="164"/>
      <c r="H62" s="164">
        <v>16295247</v>
      </c>
      <c r="I62" s="164"/>
      <c r="J62" s="164"/>
      <c r="K62" s="164"/>
      <c r="L62" s="164"/>
      <c r="M62" s="164"/>
      <c r="N62" s="164"/>
      <c r="O62" s="208">
        <v>7136513</v>
      </c>
      <c r="P62" s="208"/>
      <c r="Q62" s="208"/>
      <c r="R62" s="164"/>
      <c r="S62" s="164"/>
      <c r="T62" s="164"/>
      <c r="U62" s="306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90"/>
      <c r="AI62" s="201">
        <f t="shared" si="1"/>
        <v>23431760</v>
      </c>
      <c r="AJ62" s="173"/>
    </row>
    <row r="63" spans="1:36" hidden="1">
      <c r="A63" s="203" t="s">
        <v>892</v>
      </c>
      <c r="B63" s="204"/>
      <c r="C63" s="164"/>
      <c r="D63" s="164"/>
      <c r="E63" s="164">
        <v>4088070579</v>
      </c>
      <c r="F63" s="164"/>
      <c r="G63" s="164"/>
      <c r="H63" s="306"/>
      <c r="I63" s="164"/>
      <c r="J63" s="164"/>
      <c r="K63" s="164"/>
      <c r="L63" s="164"/>
      <c r="M63" s="164"/>
      <c r="N63" s="164"/>
      <c r="O63" s="208"/>
      <c r="P63" s="208"/>
      <c r="Q63" s="208"/>
      <c r="R63" s="164"/>
      <c r="S63" s="208"/>
      <c r="T63" s="208"/>
      <c r="U63" s="409"/>
      <c r="V63" s="164"/>
      <c r="W63" s="164"/>
      <c r="X63" s="164"/>
      <c r="Y63" s="164"/>
      <c r="Z63" s="164"/>
      <c r="AA63" s="164"/>
      <c r="AB63" s="164"/>
      <c r="AC63" s="164"/>
      <c r="AD63" s="164"/>
      <c r="AE63" s="306"/>
      <c r="AF63" s="164"/>
      <c r="AG63" s="164"/>
      <c r="AH63" s="190"/>
      <c r="AI63" s="201">
        <f t="shared" si="1"/>
        <v>4088070579</v>
      </c>
      <c r="AJ63" s="173"/>
    </row>
    <row r="64" spans="1:36">
      <c r="A64" s="203" t="s">
        <v>893</v>
      </c>
      <c r="B64" s="204"/>
      <c r="C64" s="164"/>
      <c r="D64" s="164"/>
      <c r="E64" s="164">
        <v>4960471334</v>
      </c>
      <c r="F64" s="164"/>
      <c r="G64" s="164"/>
      <c r="H64" s="306"/>
      <c r="I64" s="164"/>
      <c r="J64" s="164"/>
      <c r="K64" s="164"/>
      <c r="L64" s="164"/>
      <c r="M64" s="164"/>
      <c r="N64" s="164"/>
      <c r="O64" s="208"/>
      <c r="P64" s="208"/>
      <c r="Q64" s="208"/>
      <c r="R64" s="164"/>
      <c r="S64" s="208"/>
      <c r="T64" s="409">
        <v>11445412328</v>
      </c>
      <c r="U64" s="409">
        <v>11445412328</v>
      </c>
      <c r="V64" s="164"/>
      <c r="W64" s="164"/>
      <c r="X64" s="164"/>
      <c r="Y64" s="164"/>
      <c r="Z64" s="164"/>
      <c r="AA64" s="164"/>
      <c r="AB64" s="164"/>
      <c r="AC64" s="164"/>
      <c r="AD64" s="164"/>
      <c r="AE64" s="306"/>
      <c r="AF64" s="164"/>
      <c r="AG64" s="164"/>
      <c r="AH64" s="190"/>
      <c r="AI64" s="201"/>
      <c r="AJ64" s="173"/>
    </row>
    <row r="65" spans="1:38" hidden="1">
      <c r="A65" s="203" t="s">
        <v>227</v>
      </c>
      <c r="B65" s="204"/>
      <c r="C65" s="164"/>
      <c r="D65" s="164"/>
      <c r="E65" s="164">
        <v>3225148158</v>
      </c>
      <c r="F65" s="164"/>
      <c r="G65" s="164"/>
      <c r="H65" s="306"/>
      <c r="I65" s="164"/>
      <c r="J65" s="164"/>
      <c r="K65" s="164"/>
      <c r="L65" s="164"/>
      <c r="M65" s="164"/>
      <c r="N65" s="164"/>
      <c r="O65" s="208"/>
      <c r="P65" s="208"/>
      <c r="Q65" s="208"/>
      <c r="R65" s="164"/>
      <c r="S65" s="164">
        <v>4958049661</v>
      </c>
      <c r="T65" s="164"/>
      <c r="U65" s="306"/>
      <c r="V65" s="164"/>
      <c r="W65" s="164"/>
      <c r="X65" s="164"/>
      <c r="Y65" s="164"/>
      <c r="Z65" s="164"/>
      <c r="AA65" s="164"/>
      <c r="AB65" s="164"/>
      <c r="AC65" s="164"/>
      <c r="AD65" s="164"/>
      <c r="AE65" s="306"/>
      <c r="AF65" s="164"/>
      <c r="AG65" s="164"/>
      <c r="AH65" s="190"/>
      <c r="AI65" s="201"/>
      <c r="AJ65" s="173"/>
    </row>
    <row r="66" spans="1:38" hidden="1">
      <c r="A66" s="203" t="s">
        <v>227</v>
      </c>
      <c r="B66" s="204"/>
      <c r="C66" s="164"/>
      <c r="D66" s="164"/>
      <c r="E66" s="164">
        <v>4961765942</v>
      </c>
      <c r="F66" s="164"/>
      <c r="G66" s="164"/>
      <c r="H66" s="306"/>
      <c r="I66" s="164"/>
      <c r="J66" s="164"/>
      <c r="K66" s="164"/>
      <c r="L66" s="164"/>
      <c r="M66" s="164"/>
      <c r="N66" s="164"/>
      <c r="O66" s="208"/>
      <c r="P66" s="208"/>
      <c r="Q66" s="208"/>
      <c r="R66" s="164"/>
      <c r="S66" s="164">
        <v>3945641145</v>
      </c>
      <c r="T66" s="164"/>
      <c r="U66" s="306"/>
      <c r="V66" s="164"/>
      <c r="W66" s="164"/>
      <c r="X66" s="164"/>
      <c r="Y66" s="164"/>
      <c r="Z66" s="164"/>
      <c r="AA66" s="164"/>
      <c r="AB66" s="164"/>
      <c r="AC66" s="164"/>
      <c r="AD66" s="164"/>
      <c r="AE66" s="306"/>
      <c r="AF66" s="164"/>
      <c r="AG66" s="164"/>
      <c r="AH66" s="190"/>
      <c r="AI66" s="201"/>
      <c r="AJ66" s="173"/>
    </row>
    <row r="67" spans="1:38" hidden="1">
      <c r="A67" s="203" t="s">
        <v>227</v>
      </c>
      <c r="B67" s="204"/>
      <c r="C67" s="164"/>
      <c r="D67" s="164"/>
      <c r="E67" s="164"/>
      <c r="F67" s="164"/>
      <c r="G67" s="164"/>
      <c r="H67" s="306"/>
      <c r="I67" s="164"/>
      <c r="J67" s="164"/>
      <c r="K67" s="164"/>
      <c r="L67" s="164"/>
      <c r="M67" s="164"/>
      <c r="N67" s="164"/>
      <c r="O67" s="208"/>
      <c r="P67" s="208"/>
      <c r="Q67" s="208"/>
      <c r="R67" s="164"/>
      <c r="S67" s="164">
        <v>3035107260</v>
      </c>
      <c r="T67" s="164"/>
      <c r="U67" s="306"/>
      <c r="V67" s="164"/>
      <c r="W67" s="164"/>
      <c r="X67" s="164"/>
      <c r="Y67" s="164"/>
      <c r="Z67" s="164"/>
      <c r="AA67" s="164"/>
      <c r="AB67" s="164"/>
      <c r="AC67" s="164"/>
      <c r="AD67" s="164"/>
      <c r="AE67" s="306"/>
      <c r="AF67" s="164"/>
      <c r="AG67" s="164"/>
      <c r="AH67" s="190"/>
      <c r="AI67" s="201"/>
      <c r="AJ67" s="173"/>
    </row>
    <row r="68" spans="1:38" hidden="1">
      <c r="A68" s="203" t="s">
        <v>227</v>
      </c>
      <c r="B68" s="204"/>
      <c r="C68" s="164"/>
      <c r="D68" s="164"/>
      <c r="E68" s="164"/>
      <c r="F68" s="164"/>
      <c r="G68" s="164"/>
      <c r="H68" s="306"/>
      <c r="I68" s="164"/>
      <c r="J68" s="164"/>
      <c r="K68" s="164"/>
      <c r="L68" s="164"/>
      <c r="M68" s="164"/>
      <c r="N68" s="164"/>
      <c r="O68" s="208"/>
      <c r="P68" s="208"/>
      <c r="Q68" s="208"/>
      <c r="R68" s="164"/>
      <c r="S68" s="164"/>
      <c r="T68" s="164"/>
      <c r="U68" s="306"/>
      <c r="V68" s="164"/>
      <c r="W68" s="164"/>
      <c r="X68" s="164"/>
      <c r="Y68" s="164"/>
      <c r="Z68" s="164"/>
      <c r="AA68" s="164"/>
      <c r="AB68" s="164"/>
      <c r="AC68" s="164"/>
      <c r="AD68" s="164"/>
      <c r="AE68" s="306"/>
      <c r="AF68" s="164"/>
      <c r="AG68" s="164"/>
      <c r="AH68" s="190"/>
      <c r="AI68" s="201"/>
      <c r="AJ68" s="173"/>
    </row>
    <row r="69" spans="1:38" hidden="1">
      <c r="A69" s="203" t="s">
        <v>769</v>
      </c>
      <c r="B69" s="204"/>
      <c r="C69" s="164"/>
      <c r="D69" s="164"/>
      <c r="E69" s="164">
        <v>74606138</v>
      </c>
      <c r="F69" s="164"/>
      <c r="G69" s="172"/>
      <c r="H69" s="306"/>
      <c r="I69" s="164"/>
      <c r="J69" s="164"/>
      <c r="K69" s="164"/>
      <c r="L69" s="164"/>
      <c r="M69" s="164"/>
      <c r="N69" s="164"/>
      <c r="O69" s="208"/>
      <c r="P69" s="208">
        <v>55160965</v>
      </c>
      <c r="Q69" s="171"/>
      <c r="R69" s="164"/>
      <c r="S69" s="164">
        <v>30146774</v>
      </c>
      <c r="T69" s="164"/>
      <c r="U69" s="306"/>
      <c r="V69" s="164"/>
      <c r="W69" s="164"/>
      <c r="X69" s="164"/>
      <c r="Y69" s="164"/>
      <c r="Z69" s="164"/>
      <c r="AA69" s="164"/>
      <c r="AB69" s="164"/>
      <c r="AC69" s="164"/>
      <c r="AD69" s="172"/>
      <c r="AE69" s="306"/>
      <c r="AF69" s="208"/>
      <c r="AG69" s="164"/>
      <c r="AH69" s="190"/>
      <c r="AI69" s="201">
        <f t="shared" si="1"/>
        <v>159913877</v>
      </c>
      <c r="AJ69" s="173"/>
      <c r="AL69" s="150" t="s">
        <v>253</v>
      </c>
    </row>
    <row r="70" spans="1:38" hidden="1">
      <c r="A70" s="203" t="s">
        <v>228</v>
      </c>
      <c r="B70" s="204"/>
      <c r="C70" s="164"/>
      <c r="D70" s="164"/>
      <c r="E70" s="164"/>
      <c r="F70" s="164"/>
      <c r="G70" s="190"/>
      <c r="H70" s="164"/>
      <c r="I70" s="164"/>
      <c r="J70" s="164"/>
      <c r="K70" s="164"/>
      <c r="L70" s="308"/>
      <c r="M70" s="164"/>
      <c r="N70" s="164"/>
      <c r="O70" s="208"/>
      <c r="P70" s="208"/>
      <c r="Q70" s="208"/>
      <c r="R70" s="164"/>
      <c r="S70" s="164"/>
      <c r="T70" s="164"/>
      <c r="U70" s="309"/>
      <c r="V70" s="190"/>
      <c r="W70" s="164"/>
      <c r="X70" s="164"/>
      <c r="Y70" s="164"/>
      <c r="Z70" s="164"/>
      <c r="AA70" s="164"/>
      <c r="AB70" s="164"/>
      <c r="AC70" s="164"/>
      <c r="AD70" s="164"/>
      <c r="AE70" s="164"/>
      <c r="AF70" s="208"/>
      <c r="AG70" s="164"/>
      <c r="AH70" s="190"/>
      <c r="AI70" s="201">
        <f t="shared" si="1"/>
        <v>0</v>
      </c>
      <c r="AJ70" s="173"/>
    </row>
    <row r="71" spans="1:38" hidden="1">
      <c r="A71" s="203" t="s">
        <v>200</v>
      </c>
      <c r="B71" s="204"/>
      <c r="C71" s="164"/>
      <c r="D71" s="164"/>
      <c r="E71" s="164"/>
      <c r="F71" s="164"/>
      <c r="G71" s="190"/>
      <c r="H71" s="164"/>
      <c r="I71" s="164"/>
      <c r="J71" s="164"/>
      <c r="K71" s="164"/>
      <c r="L71" s="308"/>
      <c r="M71" s="164"/>
      <c r="N71" s="164"/>
      <c r="O71" s="208"/>
      <c r="P71" s="208"/>
      <c r="Q71" s="208"/>
      <c r="R71" s="164"/>
      <c r="S71" s="164"/>
      <c r="T71" s="164"/>
      <c r="U71" s="208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208"/>
      <c r="AG71" s="164"/>
      <c r="AH71" s="190"/>
      <c r="AI71" s="201">
        <f t="shared" si="1"/>
        <v>0</v>
      </c>
      <c r="AJ71" s="173"/>
    </row>
    <row r="72" spans="1:38" hidden="1">
      <c r="A72" s="203" t="s">
        <v>36</v>
      </c>
      <c r="B72" s="204"/>
      <c r="C72" s="164"/>
      <c r="D72" s="164"/>
      <c r="E72" s="164"/>
      <c r="F72" s="164"/>
      <c r="G72" s="190"/>
      <c r="H72" s="164">
        <v>4186590510</v>
      </c>
      <c r="I72" s="164"/>
      <c r="J72" s="164"/>
      <c r="K72" s="164"/>
      <c r="L72" s="308"/>
      <c r="M72" s="164"/>
      <c r="N72" s="164"/>
      <c r="O72" s="208">
        <v>3013843929</v>
      </c>
      <c r="P72" s="208"/>
      <c r="Q72" s="208"/>
      <c r="R72" s="164"/>
      <c r="S72" s="164"/>
      <c r="T72" s="164"/>
      <c r="U72" s="208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208"/>
      <c r="AG72" s="164"/>
      <c r="AH72" s="190"/>
      <c r="AI72" s="201">
        <f t="shared" si="1"/>
        <v>7200434439</v>
      </c>
      <c r="AJ72" s="173"/>
    </row>
    <row r="73" spans="1:38" hidden="1">
      <c r="A73" s="203" t="s">
        <v>36</v>
      </c>
      <c r="B73" s="204"/>
      <c r="C73" s="164"/>
      <c r="D73" s="164"/>
      <c r="E73" s="164"/>
      <c r="F73" s="164"/>
      <c r="G73" s="190"/>
      <c r="H73" s="164"/>
      <c r="I73" s="164"/>
      <c r="J73" s="164"/>
      <c r="K73" s="164"/>
      <c r="L73" s="308"/>
      <c r="M73" s="164"/>
      <c r="N73" s="164"/>
      <c r="O73" s="208"/>
      <c r="P73" s="208"/>
      <c r="Q73" s="208"/>
      <c r="R73" s="164"/>
      <c r="S73" s="164"/>
      <c r="T73" s="164"/>
      <c r="U73" s="208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208"/>
      <c r="AG73" s="164"/>
      <c r="AH73" s="190"/>
      <c r="AI73" s="201"/>
      <c r="AJ73" s="173"/>
    </row>
    <row r="74" spans="1:38" hidden="1">
      <c r="A74" s="203" t="s">
        <v>242</v>
      </c>
      <c r="B74" s="204"/>
      <c r="C74" s="164"/>
      <c r="D74" s="164"/>
      <c r="E74" s="164"/>
      <c r="F74" s="164"/>
      <c r="G74" s="190"/>
      <c r="H74" s="164">
        <v>21945261</v>
      </c>
      <c r="I74" s="164"/>
      <c r="J74" s="164"/>
      <c r="K74" s="164"/>
      <c r="L74" s="308"/>
      <c r="M74" s="164"/>
      <c r="N74" s="164"/>
      <c r="O74" s="208">
        <v>13144365</v>
      </c>
      <c r="P74" s="208"/>
      <c r="Q74" s="208"/>
      <c r="R74" s="164"/>
      <c r="S74" s="164"/>
      <c r="T74" s="208"/>
      <c r="U74" s="208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208"/>
      <c r="AG74" s="164"/>
      <c r="AH74" s="190"/>
      <c r="AI74" s="201">
        <f t="shared" si="1"/>
        <v>35089626</v>
      </c>
      <c r="AJ74" s="173"/>
    </row>
    <row r="75" spans="1:38" hidden="1">
      <c r="A75" s="162" t="s">
        <v>53</v>
      </c>
      <c r="B75" s="204"/>
      <c r="C75" s="164"/>
      <c r="D75" s="164"/>
      <c r="E75" s="164"/>
      <c r="F75" s="164"/>
      <c r="G75" s="164"/>
      <c r="H75" s="164"/>
      <c r="I75" s="164"/>
      <c r="J75" s="164"/>
      <c r="K75" s="164"/>
      <c r="L75" s="308"/>
      <c r="M75" s="164"/>
      <c r="N75" s="172"/>
      <c r="O75" s="172"/>
      <c r="P75" s="172"/>
      <c r="Q75" s="208"/>
      <c r="R75" s="164"/>
      <c r="S75" s="243"/>
      <c r="T75" s="208"/>
      <c r="U75" s="171"/>
      <c r="V75" s="177"/>
      <c r="W75" s="164"/>
      <c r="X75" s="171"/>
      <c r="Y75" s="171"/>
      <c r="Z75" s="164"/>
      <c r="AA75" s="164"/>
      <c r="AB75" s="164"/>
      <c r="AC75" s="164"/>
      <c r="AD75" s="164"/>
      <c r="AE75" s="164"/>
      <c r="AF75" s="208"/>
      <c r="AG75" s="164"/>
      <c r="AH75" s="164"/>
      <c r="AI75" s="201">
        <f t="shared" si="1"/>
        <v>0</v>
      </c>
      <c r="AJ75" s="173"/>
    </row>
    <row r="76" spans="1:38" hidden="1">
      <c r="A76" s="162" t="s">
        <v>54</v>
      </c>
      <c r="B76" s="204"/>
      <c r="C76" s="172"/>
      <c r="D76" s="164"/>
      <c r="E76" s="164"/>
      <c r="F76" s="164"/>
      <c r="G76" s="164"/>
      <c r="H76" s="164"/>
      <c r="I76" s="164"/>
      <c r="J76" s="164"/>
      <c r="K76" s="164"/>
      <c r="L76" s="310"/>
      <c r="M76" s="164"/>
      <c r="N76" s="164"/>
      <c r="O76" s="208"/>
      <c r="P76" s="172"/>
      <c r="Q76" s="208"/>
      <c r="R76" s="164"/>
      <c r="S76" s="164"/>
      <c r="T76" s="208"/>
      <c r="U76" s="208"/>
      <c r="V76" s="177"/>
      <c r="W76" s="172"/>
      <c r="X76" s="170"/>
      <c r="Y76" s="170"/>
      <c r="Z76" s="172"/>
      <c r="AA76" s="164"/>
      <c r="AB76" s="164"/>
      <c r="AC76" s="164"/>
      <c r="AD76" s="164"/>
      <c r="AE76" s="164"/>
      <c r="AF76" s="208"/>
      <c r="AG76" s="164"/>
      <c r="AH76" s="190"/>
      <c r="AI76" s="201">
        <f t="shared" si="1"/>
        <v>0</v>
      </c>
      <c r="AJ76" s="173">
        <v>1</v>
      </c>
    </row>
    <row r="77" spans="1:38" hidden="1">
      <c r="A77" s="162" t="s">
        <v>203</v>
      </c>
      <c r="B77" s="204"/>
      <c r="C77" s="172"/>
      <c r="D77" s="164"/>
      <c r="E77" s="164"/>
      <c r="F77" s="164"/>
      <c r="G77" s="164"/>
      <c r="H77" s="208"/>
      <c r="I77" s="208"/>
      <c r="J77" s="164"/>
      <c r="K77" s="164"/>
      <c r="L77" s="310"/>
      <c r="M77" s="164"/>
      <c r="N77" s="164"/>
      <c r="O77" s="208"/>
      <c r="P77" s="172"/>
      <c r="Q77" s="208"/>
      <c r="R77" s="164"/>
      <c r="S77" s="164"/>
      <c r="T77" s="208"/>
      <c r="U77" s="208"/>
      <c r="V77" s="171"/>
      <c r="W77" s="172"/>
      <c r="X77" s="170"/>
      <c r="Y77" s="170"/>
      <c r="Z77" s="172"/>
      <c r="AA77" s="164"/>
      <c r="AB77" s="164"/>
      <c r="AC77" s="164"/>
      <c r="AD77" s="164"/>
      <c r="AE77" s="208"/>
      <c r="AF77" s="208"/>
      <c r="AG77" s="164"/>
      <c r="AH77" s="190"/>
      <c r="AI77" s="201">
        <f t="shared" si="1"/>
        <v>0</v>
      </c>
      <c r="AJ77" s="173"/>
    </row>
    <row r="78" spans="1:38">
      <c r="A78" s="162" t="s">
        <v>37</v>
      </c>
      <c r="B78" s="204"/>
      <c r="C78" s="164"/>
      <c r="D78" s="171"/>
      <c r="E78" s="172"/>
      <c r="F78" s="172"/>
      <c r="G78" s="164"/>
      <c r="H78" s="172">
        <v>498251919</v>
      </c>
      <c r="I78" s="172"/>
      <c r="J78" s="164"/>
      <c r="K78" s="164"/>
      <c r="L78" s="310"/>
      <c r="M78" s="164"/>
      <c r="N78" s="164">
        <v>3695157953</v>
      </c>
      <c r="O78" s="208"/>
      <c r="P78" s="171"/>
      <c r="Q78" s="208"/>
      <c r="R78" s="164"/>
      <c r="S78" s="164"/>
      <c r="T78" s="208">
        <v>2845874725</v>
      </c>
      <c r="U78" s="208"/>
      <c r="V78" s="208"/>
      <c r="W78" s="164"/>
      <c r="X78" s="171"/>
      <c r="Y78" s="171"/>
      <c r="Z78" s="164"/>
      <c r="AA78" s="171"/>
      <c r="AB78" s="172"/>
      <c r="AC78" s="172"/>
      <c r="AD78" s="164"/>
      <c r="AE78" s="172"/>
      <c r="AF78" s="175"/>
      <c r="AG78" s="164"/>
      <c r="AH78" s="164"/>
      <c r="AI78" s="201">
        <f t="shared" si="1"/>
        <v>7039284597</v>
      </c>
      <c r="AJ78" s="173"/>
    </row>
    <row r="79" spans="1:38" hidden="1">
      <c r="A79" s="162" t="s">
        <v>38</v>
      </c>
      <c r="B79" s="204"/>
      <c r="C79" s="172"/>
      <c r="D79" s="171"/>
      <c r="E79" s="172"/>
      <c r="F79" s="164"/>
      <c r="G79" s="164"/>
      <c r="H79" s="208"/>
      <c r="I79" s="208"/>
      <c r="J79" s="164"/>
      <c r="K79" s="172"/>
      <c r="L79" s="310"/>
      <c r="M79" s="164"/>
      <c r="N79" s="172"/>
      <c r="O79" s="172"/>
      <c r="P79" s="208"/>
      <c r="Q79" s="172"/>
      <c r="R79" s="171"/>
      <c r="S79" s="164"/>
      <c r="T79" s="171"/>
      <c r="U79" s="208"/>
      <c r="V79" s="208"/>
      <c r="W79" s="172"/>
      <c r="X79" s="171"/>
      <c r="Y79" s="171"/>
      <c r="Z79" s="172"/>
      <c r="AA79" s="171"/>
      <c r="AB79" s="172"/>
      <c r="AC79" s="164"/>
      <c r="AD79" s="164"/>
      <c r="AE79" s="208"/>
      <c r="AF79" s="171"/>
      <c r="AG79" s="170"/>
      <c r="AH79" s="170"/>
      <c r="AI79" s="201">
        <f t="shared" si="1"/>
        <v>0</v>
      </c>
      <c r="AJ79" s="173"/>
    </row>
    <row r="80" spans="1:38" hidden="1">
      <c r="A80" s="162" t="s">
        <v>540</v>
      </c>
      <c r="B80" s="204"/>
      <c r="C80" s="172"/>
      <c r="D80" s="171"/>
      <c r="E80" s="172">
        <v>61141246</v>
      </c>
      <c r="F80" s="164"/>
      <c r="G80" s="164"/>
      <c r="H80" s="208"/>
      <c r="I80" s="208"/>
      <c r="J80" s="164"/>
      <c r="K80" s="172"/>
      <c r="L80" s="208"/>
      <c r="M80" s="164"/>
      <c r="N80" s="177"/>
      <c r="O80" s="172"/>
      <c r="P80" s="208"/>
      <c r="Q80" s="172"/>
      <c r="R80" s="171"/>
      <c r="S80" s="164"/>
      <c r="T80" s="171"/>
      <c r="U80" s="208"/>
      <c r="V80" s="208"/>
      <c r="W80" s="172"/>
      <c r="X80" s="171"/>
      <c r="Y80" s="171"/>
      <c r="Z80" s="172"/>
      <c r="AA80" s="171"/>
      <c r="AB80" s="172"/>
      <c r="AC80" s="164"/>
      <c r="AD80" s="164"/>
      <c r="AE80" s="208"/>
      <c r="AF80" s="171"/>
      <c r="AG80" s="170"/>
      <c r="AH80" s="170"/>
      <c r="AI80" s="201">
        <f t="shared" si="1"/>
        <v>61141246</v>
      </c>
      <c r="AJ80" s="173"/>
    </row>
    <row r="81" spans="1:41">
      <c r="A81" s="162" t="s">
        <v>175</v>
      </c>
      <c r="B81" s="204"/>
      <c r="C81" s="172"/>
      <c r="D81" s="172"/>
      <c r="E81" s="172"/>
      <c r="F81" s="164"/>
      <c r="G81" s="172">
        <v>3565790127</v>
      </c>
      <c r="H81" s="171"/>
      <c r="I81" s="208"/>
      <c r="J81" s="172"/>
      <c r="K81" s="164"/>
      <c r="L81" s="171"/>
      <c r="M81" s="164"/>
      <c r="N81" s="172">
        <v>4695889515</v>
      </c>
      <c r="O81" s="172"/>
      <c r="P81" s="173"/>
      <c r="Q81" s="208"/>
      <c r="R81" s="171"/>
      <c r="S81" s="164"/>
      <c r="T81" s="164">
        <v>4123498070</v>
      </c>
      <c r="U81" s="164"/>
      <c r="V81" s="164"/>
      <c r="W81" s="172"/>
      <c r="X81" s="175"/>
      <c r="Y81" s="175"/>
      <c r="Z81" s="172"/>
      <c r="AA81" s="172"/>
      <c r="AB81" s="172"/>
      <c r="AC81" s="164"/>
      <c r="AD81" s="172"/>
      <c r="AE81" s="171"/>
      <c r="AF81" s="171"/>
      <c r="AG81" s="171"/>
      <c r="AH81" s="170"/>
      <c r="AI81" s="201">
        <f t="shared" si="1"/>
        <v>12385177712</v>
      </c>
      <c r="AJ81" s="173"/>
    </row>
    <row r="82" spans="1:41" hidden="1">
      <c r="A82" s="162" t="s">
        <v>176</v>
      </c>
      <c r="B82" s="204"/>
      <c r="C82" s="208"/>
      <c r="D82" s="164"/>
      <c r="E82" s="172"/>
      <c r="F82" s="164"/>
      <c r="G82" s="164">
        <v>3502468583</v>
      </c>
      <c r="H82" s="208"/>
      <c r="I82" s="208"/>
      <c r="J82" s="172"/>
      <c r="K82" s="172"/>
      <c r="L82" s="208"/>
      <c r="M82" s="164"/>
      <c r="N82" s="164"/>
      <c r="O82" s="172"/>
      <c r="P82" s="208"/>
      <c r="Q82" s="208"/>
      <c r="R82" s="306"/>
      <c r="S82" s="164"/>
      <c r="T82" s="172"/>
      <c r="U82" s="171"/>
      <c r="V82" s="171"/>
      <c r="W82" s="164"/>
      <c r="X82" s="171"/>
      <c r="Y82" s="172"/>
      <c r="Z82" s="208"/>
      <c r="AA82" s="164"/>
      <c r="AB82" s="172"/>
      <c r="AC82" s="164"/>
      <c r="AD82" s="164"/>
      <c r="AE82" s="208"/>
      <c r="AF82" s="171"/>
      <c r="AG82" s="164"/>
      <c r="AH82" s="164"/>
      <c r="AI82" s="201">
        <f t="shared" si="1"/>
        <v>3502468583</v>
      </c>
      <c r="AJ82" s="173"/>
    </row>
    <row r="83" spans="1:41" hidden="1">
      <c r="A83" s="162" t="s">
        <v>409</v>
      </c>
      <c r="B83" s="204"/>
      <c r="C83" s="171"/>
      <c r="D83" s="171"/>
      <c r="E83" s="172"/>
      <c r="F83" s="164"/>
      <c r="G83" s="164">
        <v>3359359976</v>
      </c>
      <c r="H83" s="309"/>
      <c r="I83" s="208"/>
      <c r="J83" s="172"/>
      <c r="K83" s="172"/>
      <c r="L83" s="208"/>
      <c r="M83" s="164"/>
      <c r="N83" s="164"/>
      <c r="O83" s="172"/>
      <c r="P83" s="208"/>
      <c r="Q83" s="208"/>
      <c r="R83" s="306"/>
      <c r="S83" s="164"/>
      <c r="T83" s="172"/>
      <c r="U83" s="171"/>
      <c r="V83" s="171"/>
      <c r="W83" s="164"/>
      <c r="X83" s="171"/>
      <c r="Y83" s="171"/>
      <c r="Z83" s="171"/>
      <c r="AA83" s="171"/>
      <c r="AB83" s="172"/>
      <c r="AC83" s="164"/>
      <c r="AD83" s="164"/>
      <c r="AE83" s="309"/>
      <c r="AF83" s="171"/>
      <c r="AG83" s="164"/>
      <c r="AH83" s="164"/>
      <c r="AI83" s="201"/>
      <c r="AJ83" s="173"/>
    </row>
    <row r="84" spans="1:41" hidden="1">
      <c r="A84" s="162" t="s">
        <v>202</v>
      </c>
      <c r="B84" s="204"/>
      <c r="C84" s="164"/>
      <c r="D84" s="164"/>
      <c r="E84" s="172">
        <v>82816472</v>
      </c>
      <c r="F84" s="164"/>
      <c r="G84" s="164"/>
      <c r="H84" s="306"/>
      <c r="I84" s="208"/>
      <c r="J84" s="172"/>
      <c r="K84" s="172"/>
      <c r="L84" s="208"/>
      <c r="M84" s="164"/>
      <c r="N84" s="164"/>
      <c r="O84" s="172"/>
      <c r="P84" s="208"/>
      <c r="Q84" s="208"/>
      <c r="R84" s="306"/>
      <c r="S84" s="164"/>
      <c r="T84" s="172"/>
      <c r="U84" s="171"/>
      <c r="V84" s="164"/>
      <c r="W84" s="164"/>
      <c r="X84" s="171"/>
      <c r="Y84" s="172"/>
      <c r="Z84" s="164"/>
      <c r="AA84" s="164"/>
      <c r="AB84" s="172"/>
      <c r="AC84" s="164"/>
      <c r="AD84" s="164"/>
      <c r="AE84" s="306"/>
      <c r="AF84" s="171"/>
      <c r="AG84" s="164"/>
      <c r="AH84" s="164"/>
      <c r="AI84" s="201">
        <f t="shared" si="1"/>
        <v>82816472</v>
      </c>
      <c r="AJ84" s="173"/>
    </row>
    <row r="85" spans="1:41">
      <c r="A85" s="211" t="s">
        <v>41</v>
      </c>
      <c r="B85" s="212"/>
      <c r="C85" s="213">
        <f>SUM(C60:C84)</f>
        <v>0</v>
      </c>
      <c r="D85" s="213">
        <f t="shared" ref="D85:AI85" si="2">SUM(D60:D84)</f>
        <v>0</v>
      </c>
      <c r="E85" s="213">
        <f t="shared" si="2"/>
        <v>17454019869</v>
      </c>
      <c r="F85" s="213">
        <f t="shared" si="2"/>
        <v>0</v>
      </c>
      <c r="G85" s="213">
        <f t="shared" si="2"/>
        <v>10427618686</v>
      </c>
      <c r="H85" s="213">
        <f t="shared" si="2"/>
        <v>7488991749</v>
      </c>
      <c r="I85" s="213">
        <f t="shared" si="2"/>
        <v>0</v>
      </c>
      <c r="J85" s="213">
        <f t="shared" si="2"/>
        <v>0</v>
      </c>
      <c r="K85" s="213">
        <f>SUM(K60:K84)</f>
        <v>0</v>
      </c>
      <c r="L85" s="213">
        <f t="shared" si="2"/>
        <v>0</v>
      </c>
      <c r="M85" s="213">
        <f t="shared" si="2"/>
        <v>0</v>
      </c>
      <c r="N85" s="213">
        <f>SUM(N60:N84)</f>
        <v>8391047468</v>
      </c>
      <c r="O85" s="213">
        <f t="shared" si="2"/>
        <v>4874931658</v>
      </c>
      <c r="P85" s="213">
        <f t="shared" si="2"/>
        <v>55160965</v>
      </c>
      <c r="Q85" s="213">
        <f t="shared" si="2"/>
        <v>0</v>
      </c>
      <c r="R85" s="213">
        <f t="shared" si="2"/>
        <v>0</v>
      </c>
      <c r="S85" s="213">
        <f t="shared" si="2"/>
        <v>11968944840</v>
      </c>
      <c r="T85" s="213">
        <f>SUM(T60:T84)</f>
        <v>18414785123</v>
      </c>
      <c r="U85" s="213">
        <f t="shared" si="2"/>
        <v>11445412328</v>
      </c>
      <c r="V85" s="213">
        <f t="shared" si="2"/>
        <v>0</v>
      </c>
      <c r="W85" s="213">
        <f t="shared" si="2"/>
        <v>0</v>
      </c>
      <c r="X85" s="213">
        <f t="shared" si="2"/>
        <v>0</v>
      </c>
      <c r="Y85" s="213">
        <f t="shared" si="2"/>
        <v>0</v>
      </c>
      <c r="Z85" s="213">
        <f t="shared" si="2"/>
        <v>0</v>
      </c>
      <c r="AA85" s="213">
        <f t="shared" si="2"/>
        <v>0</v>
      </c>
      <c r="AB85" s="213">
        <f t="shared" si="2"/>
        <v>0</v>
      </c>
      <c r="AC85" s="213">
        <f t="shared" si="2"/>
        <v>0</v>
      </c>
      <c r="AD85" s="213">
        <f t="shared" si="2"/>
        <v>0</v>
      </c>
      <c r="AE85" s="213">
        <f t="shared" si="2"/>
        <v>0</v>
      </c>
      <c r="AF85" s="213">
        <f t="shared" si="2"/>
        <v>0</v>
      </c>
      <c r="AG85" s="213">
        <f t="shared" si="2"/>
        <v>0</v>
      </c>
      <c r="AH85" s="213">
        <f t="shared" si="2"/>
        <v>0</v>
      </c>
      <c r="AI85" s="213">
        <f t="shared" si="2"/>
        <v>39184544554</v>
      </c>
      <c r="AJ85" s="154"/>
    </row>
    <row r="86" spans="1:41">
      <c r="A86" s="393" t="s">
        <v>42</v>
      </c>
      <c r="B86" s="394"/>
      <c r="C86" s="215">
        <f t="shared" ref="C86:AG86" si="3">C57+C85</f>
        <v>0</v>
      </c>
      <c r="D86" s="215">
        <f t="shared" si="3"/>
        <v>0</v>
      </c>
      <c r="E86" s="216">
        <f t="shared" si="3"/>
        <v>21722869326</v>
      </c>
      <c r="F86" s="216">
        <f t="shared" si="3"/>
        <v>4133169416</v>
      </c>
      <c r="G86" s="216">
        <f t="shared" si="3"/>
        <v>12260763088</v>
      </c>
      <c r="H86" s="216">
        <f t="shared" si="3"/>
        <v>8038158447</v>
      </c>
      <c r="I86" s="216">
        <f t="shared" si="3"/>
        <v>1532525506</v>
      </c>
      <c r="J86" s="215">
        <f t="shared" si="3"/>
        <v>0</v>
      </c>
      <c r="K86" s="215">
        <f t="shared" si="3"/>
        <v>0</v>
      </c>
      <c r="L86" s="216">
        <f t="shared" si="3"/>
        <v>967125172</v>
      </c>
      <c r="M86" s="216">
        <f t="shared" si="3"/>
        <v>344331084</v>
      </c>
      <c r="N86" s="216">
        <f t="shared" si="3"/>
        <v>8541408182</v>
      </c>
      <c r="O86" s="216">
        <f t="shared" si="3"/>
        <v>4934331532</v>
      </c>
      <c r="P86" s="216">
        <f t="shared" si="3"/>
        <v>61136514</v>
      </c>
      <c r="Q86" s="216">
        <f t="shared" si="3"/>
        <v>0</v>
      </c>
      <c r="R86" s="216">
        <f t="shared" si="3"/>
        <v>0</v>
      </c>
      <c r="S86" s="216">
        <f t="shared" si="3"/>
        <v>13468944840</v>
      </c>
      <c r="T86" s="216">
        <f t="shared" si="3"/>
        <v>24198095310</v>
      </c>
      <c r="U86" s="216">
        <f t="shared" si="3"/>
        <v>15435189044</v>
      </c>
      <c r="V86" s="216">
        <f t="shared" si="3"/>
        <v>0</v>
      </c>
      <c r="W86" s="216">
        <f t="shared" si="3"/>
        <v>0</v>
      </c>
      <c r="X86" s="216">
        <f t="shared" si="3"/>
        <v>0</v>
      </c>
      <c r="Y86" s="216">
        <f t="shared" si="3"/>
        <v>0</v>
      </c>
      <c r="Z86" s="216">
        <f t="shared" si="3"/>
        <v>0</v>
      </c>
      <c r="AA86" s="216">
        <f t="shared" si="3"/>
        <v>0</v>
      </c>
      <c r="AB86" s="216">
        <f t="shared" si="3"/>
        <v>0</v>
      </c>
      <c r="AC86" s="216">
        <f t="shared" si="3"/>
        <v>0</v>
      </c>
      <c r="AD86" s="216">
        <f t="shared" si="3"/>
        <v>0</v>
      </c>
      <c r="AE86" s="216">
        <f t="shared" si="3"/>
        <v>0</v>
      </c>
      <c r="AF86" s="216">
        <f t="shared" si="3"/>
        <v>0</v>
      </c>
      <c r="AG86" s="216">
        <f t="shared" si="3"/>
        <v>0</v>
      </c>
      <c r="AH86" s="216"/>
      <c r="AI86" s="216">
        <f>SUM(C86:AG86)</f>
        <v>115638047461</v>
      </c>
    </row>
    <row r="88" spans="1:41">
      <c r="A88" s="150" t="s">
        <v>50</v>
      </c>
      <c r="C88" s="248">
        <v>27274272807</v>
      </c>
      <c r="D88" s="292"/>
      <c r="E88" s="248">
        <v>57811297912</v>
      </c>
      <c r="F88" s="248">
        <v>38135925786</v>
      </c>
      <c r="G88" s="248">
        <v>37444322168</v>
      </c>
      <c r="H88" s="248">
        <v>31373065229</v>
      </c>
      <c r="I88" s="248">
        <v>29894485291</v>
      </c>
      <c r="J88" s="248">
        <v>31738919588</v>
      </c>
      <c r="K88" s="292"/>
      <c r="L88" s="248">
        <v>32111835618</v>
      </c>
      <c r="M88" s="248">
        <v>34967286723</v>
      </c>
      <c r="N88" s="248"/>
      <c r="O88" s="248">
        <v>36430922118</v>
      </c>
      <c r="P88" s="248">
        <v>34878898284</v>
      </c>
      <c r="Q88" s="248"/>
      <c r="R88" s="248"/>
      <c r="S88" s="248">
        <v>42065723427</v>
      </c>
      <c r="T88" s="248">
        <v>31386254701</v>
      </c>
      <c r="U88" s="248"/>
      <c r="V88" s="248"/>
      <c r="W88" s="248"/>
      <c r="X88" s="248"/>
      <c r="Y88" s="248"/>
      <c r="Z88" s="248"/>
      <c r="AA88" s="248"/>
      <c r="AB88" s="293">
        <v>41235618913</v>
      </c>
      <c r="AC88" s="248">
        <v>43155592346</v>
      </c>
      <c r="AD88" s="248">
        <v>36776222213</v>
      </c>
      <c r="AE88" s="248">
        <v>39965178766</v>
      </c>
      <c r="AF88" s="248">
        <v>25875733257</v>
      </c>
      <c r="AG88" s="248"/>
      <c r="AH88" s="248"/>
      <c r="AI88" s="228"/>
      <c r="AJ88" s="228"/>
    </row>
    <row r="89" spans="1:41">
      <c r="A89" s="150" t="s">
        <v>139</v>
      </c>
      <c r="C89" s="294">
        <f>C88-C86</f>
        <v>27274272807</v>
      </c>
      <c r="D89" s="295"/>
      <c r="E89" s="296">
        <f>E88-E86</f>
        <v>36088428586</v>
      </c>
      <c r="F89" s="248"/>
      <c r="G89" s="296">
        <f>G88-G86</f>
        <v>25183559080</v>
      </c>
      <c r="H89" s="248">
        <f>H88-H86</f>
        <v>23334906782</v>
      </c>
      <c r="I89" s="296">
        <f>I88-I86</f>
        <v>28361959785</v>
      </c>
      <c r="J89" s="248">
        <f>J88-J86</f>
        <v>31738919588</v>
      </c>
      <c r="K89" s="297"/>
      <c r="L89" s="296">
        <f>L88-L86</f>
        <v>31144710446</v>
      </c>
      <c r="M89" s="293">
        <f>M88-M86</f>
        <v>34622955639</v>
      </c>
      <c r="N89" s="293"/>
      <c r="O89" s="293"/>
      <c r="P89" s="293">
        <f>P88-P86</f>
        <v>34817761770</v>
      </c>
      <c r="Q89" s="293"/>
      <c r="R89" s="293"/>
      <c r="S89" s="293">
        <f>S88-S86</f>
        <v>28596778587</v>
      </c>
      <c r="T89" s="293">
        <f>T88-T86</f>
        <v>7188159391</v>
      </c>
      <c r="U89" s="293"/>
      <c r="V89" s="293"/>
      <c r="W89" s="296"/>
      <c r="X89" s="248"/>
      <c r="Y89" s="296"/>
      <c r="Z89" s="248"/>
      <c r="AA89" s="248"/>
      <c r="AB89" s="293">
        <f>AB88-AB86</f>
        <v>41235618913</v>
      </c>
      <c r="AC89" s="296">
        <f>AC88-AC86</f>
        <v>43155592346</v>
      </c>
      <c r="AD89" s="296">
        <f>AD88-AD86</f>
        <v>36776222213</v>
      </c>
      <c r="AE89" s="296">
        <f>AE88-AE86</f>
        <v>39965178766</v>
      </c>
      <c r="AF89" s="296">
        <f>AF88-AF86</f>
        <v>25875733257</v>
      </c>
      <c r="AG89" s="296"/>
      <c r="AH89" s="296"/>
      <c r="AI89" s="296"/>
      <c r="AJ89" s="228"/>
    </row>
    <row r="90" spans="1:41">
      <c r="A90" s="150" t="s">
        <v>181</v>
      </c>
      <c r="C90" s="248"/>
      <c r="D90" s="295"/>
      <c r="E90" s="248"/>
      <c r="F90" s="248"/>
      <c r="G90" s="248">
        <v>2300000000</v>
      </c>
      <c r="H90" s="248"/>
      <c r="I90" s="248"/>
      <c r="J90" s="248"/>
      <c r="K90" s="297"/>
      <c r="L90" s="248"/>
      <c r="M90" s="248"/>
      <c r="N90" s="248"/>
      <c r="O90" s="293"/>
      <c r="P90" s="248"/>
      <c r="Q90" s="248"/>
      <c r="R90" s="296"/>
      <c r="S90" s="248"/>
      <c r="T90" s="293">
        <f>T89-T87</f>
        <v>7188159391</v>
      </c>
      <c r="U90" s="248"/>
      <c r="V90" s="248"/>
      <c r="W90" s="248"/>
      <c r="X90" s="248"/>
      <c r="Y90" s="293"/>
      <c r="Z90" s="248"/>
      <c r="AA90" s="248"/>
      <c r="AB90" s="248"/>
      <c r="AC90" s="248"/>
      <c r="AD90" s="293"/>
      <c r="AE90" s="248"/>
      <c r="AF90" s="248"/>
      <c r="AG90" s="248"/>
      <c r="AH90" s="248"/>
      <c r="AI90" s="296"/>
      <c r="AJ90" s="228"/>
    </row>
    <row r="91" spans="1:41">
      <c r="A91" s="150" t="s">
        <v>654</v>
      </c>
      <c r="C91" s="248"/>
      <c r="D91" s="295"/>
      <c r="E91" s="248"/>
      <c r="F91" s="248"/>
      <c r="G91" s="248"/>
      <c r="H91" s="248"/>
      <c r="I91" s="248"/>
      <c r="J91" s="292">
        <f>J89+J90</f>
        <v>31738919588</v>
      </c>
      <c r="K91" s="292"/>
      <c r="L91" s="248"/>
      <c r="M91" s="248"/>
      <c r="N91" s="248"/>
      <c r="O91" s="248"/>
      <c r="P91" s="248"/>
      <c r="Q91" s="248"/>
      <c r="R91" s="248"/>
      <c r="S91" s="248"/>
      <c r="T91" s="248"/>
      <c r="U91" s="248"/>
      <c r="V91" s="248"/>
      <c r="W91" s="248"/>
      <c r="X91" s="248"/>
      <c r="Y91" s="293"/>
      <c r="Z91" s="296"/>
      <c r="AA91" s="296"/>
      <c r="AB91" s="248"/>
      <c r="AC91" s="248"/>
      <c r="AD91" s="296"/>
      <c r="AE91" s="296"/>
      <c r="AF91" s="296"/>
      <c r="AG91" s="296"/>
      <c r="AH91" s="296"/>
      <c r="AI91" s="296"/>
      <c r="AJ91" s="228"/>
    </row>
    <row r="92" spans="1:41">
      <c r="A92" s="150" t="s">
        <v>407</v>
      </c>
      <c r="C92" s="297"/>
      <c r="D92" s="297" t="s">
        <v>111</v>
      </c>
      <c r="E92" s="248"/>
      <c r="F92" s="248"/>
      <c r="G92" s="228"/>
      <c r="H92" s="293"/>
      <c r="I92" s="248"/>
      <c r="J92" s="292"/>
      <c r="K92" s="297"/>
      <c r="L92" s="248"/>
      <c r="M92" s="248"/>
      <c r="N92" s="248"/>
      <c r="O92" s="296"/>
      <c r="P92" s="248"/>
      <c r="Q92" s="296"/>
      <c r="R92" s="293"/>
      <c r="S92" s="296"/>
      <c r="T92" s="296"/>
      <c r="U92" s="248"/>
      <c r="V92" s="248"/>
      <c r="W92" s="293"/>
      <c r="X92" s="248"/>
      <c r="Y92" s="296"/>
      <c r="Z92" s="296"/>
      <c r="AA92" s="296"/>
      <c r="AB92" s="248"/>
      <c r="AC92" s="228"/>
      <c r="AD92" s="228"/>
      <c r="AE92" s="228"/>
      <c r="AF92" s="228"/>
      <c r="AG92" s="248"/>
      <c r="AH92" s="248"/>
      <c r="AI92" s="228"/>
      <c r="AJ92" s="296"/>
    </row>
    <row r="93" spans="1:41">
      <c r="C93" s="193"/>
      <c r="E93" s="150" t="s">
        <v>111</v>
      </c>
      <c r="F93" s="154"/>
      <c r="I93" s="219"/>
      <c r="K93" s="218"/>
      <c r="L93" s="154"/>
      <c r="R93" s="217"/>
      <c r="S93" s="219"/>
      <c r="V93" s="154"/>
      <c r="W93" s="219"/>
      <c r="X93" s="219"/>
      <c r="AD93" s="398"/>
      <c r="AE93" s="398"/>
      <c r="AF93" s="398"/>
      <c r="AG93" s="398"/>
      <c r="AH93" s="398"/>
      <c r="AI93" s="398"/>
      <c r="AJ93" s="398" t="s">
        <v>799</v>
      </c>
      <c r="AK93" s="398"/>
      <c r="AL93" s="398"/>
      <c r="AM93" s="398" t="s">
        <v>805</v>
      </c>
      <c r="AN93" s="398"/>
      <c r="AO93" s="398"/>
    </row>
    <row r="94" spans="1:41">
      <c r="D94" s="182" t="s">
        <v>102</v>
      </c>
      <c r="E94" s="150" t="s">
        <v>108</v>
      </c>
      <c r="L94" s="154"/>
      <c r="Y94" s="154"/>
      <c r="AD94" s="284"/>
      <c r="AE94" s="285"/>
      <c r="AF94" s="284"/>
      <c r="AG94" s="284"/>
      <c r="AH94" s="285"/>
      <c r="AI94" s="284"/>
      <c r="AJ94" s="284" t="s">
        <v>443</v>
      </c>
      <c r="AK94" s="285" t="s">
        <v>444</v>
      </c>
      <c r="AL94" s="284" t="s">
        <v>445</v>
      </c>
      <c r="AM94" s="284" t="s">
        <v>443</v>
      </c>
      <c r="AN94" s="285" t="s">
        <v>444</v>
      </c>
      <c r="AO94" s="284" t="s">
        <v>445</v>
      </c>
    </row>
    <row r="95" spans="1:41">
      <c r="C95" s="150"/>
      <c r="D95" s="150"/>
      <c r="F95" s="395" t="s">
        <v>481</v>
      </c>
      <c r="G95" s="395"/>
      <c r="H95" s="395" t="s">
        <v>481</v>
      </c>
      <c r="I95" s="395"/>
      <c r="J95" s="395" t="s">
        <v>481</v>
      </c>
      <c r="K95" s="395"/>
      <c r="L95" s="298"/>
      <c r="M95" s="395" t="s">
        <v>481</v>
      </c>
      <c r="N95" s="395"/>
      <c r="O95" s="298"/>
      <c r="P95" s="395" t="s">
        <v>481</v>
      </c>
      <c r="Q95" s="395"/>
      <c r="R95" s="298"/>
      <c r="S95" s="395" t="s">
        <v>481</v>
      </c>
      <c r="T95" s="395"/>
      <c r="U95" s="298"/>
      <c r="V95" s="395" t="s">
        <v>481</v>
      </c>
      <c r="W95" s="395"/>
      <c r="X95" s="298"/>
      <c r="Y95" s="395" t="s">
        <v>481</v>
      </c>
      <c r="Z95" s="395"/>
      <c r="AA95" s="395"/>
      <c r="AB95" s="395" t="s">
        <v>481</v>
      </c>
      <c r="AC95" s="395"/>
      <c r="AD95" s="395"/>
      <c r="AE95" s="395" t="s">
        <v>481</v>
      </c>
      <c r="AF95" s="395"/>
      <c r="AG95" s="395"/>
      <c r="AH95" s="395" t="s">
        <v>481</v>
      </c>
      <c r="AI95" s="395"/>
      <c r="AJ95" s="395"/>
      <c r="AK95" s="176"/>
      <c r="AL95" s="176"/>
      <c r="AM95" s="169" t="s">
        <v>463</v>
      </c>
      <c r="AN95" s="176" t="s">
        <v>807</v>
      </c>
      <c r="AO95" s="176">
        <v>15000587</v>
      </c>
    </row>
    <row r="96" spans="1:41" ht="17.25" customHeight="1">
      <c r="F96" s="395" t="s">
        <v>482</v>
      </c>
      <c r="G96" s="395"/>
      <c r="H96" s="395" t="s">
        <v>504</v>
      </c>
      <c r="I96" s="395"/>
      <c r="J96" s="395" t="s">
        <v>817</v>
      </c>
      <c r="K96" s="395"/>
      <c r="L96" s="342"/>
      <c r="M96" s="395" t="s">
        <v>826</v>
      </c>
      <c r="N96" s="395"/>
      <c r="O96" s="342"/>
      <c r="P96" s="395" t="s">
        <v>857</v>
      </c>
      <c r="Q96" s="395"/>
      <c r="R96" s="299"/>
      <c r="S96" s="395" t="s">
        <v>868</v>
      </c>
      <c r="T96" s="395"/>
      <c r="U96" s="299"/>
      <c r="V96" s="395" t="s">
        <v>877</v>
      </c>
      <c r="W96" s="395"/>
      <c r="X96" s="299"/>
      <c r="Y96" s="398" t="s">
        <v>891</v>
      </c>
      <c r="Z96" s="398"/>
      <c r="AA96" s="398"/>
      <c r="AB96" s="398" t="s">
        <v>899</v>
      </c>
      <c r="AC96" s="398"/>
      <c r="AD96" s="398"/>
      <c r="AE96" s="398" t="s">
        <v>902</v>
      </c>
      <c r="AF96" s="398"/>
      <c r="AG96" s="398"/>
      <c r="AH96" s="398" t="s">
        <v>919</v>
      </c>
      <c r="AI96" s="398"/>
      <c r="AJ96" s="398"/>
      <c r="AK96" s="313"/>
      <c r="AL96" s="314"/>
      <c r="AM96" s="162" t="s">
        <v>724</v>
      </c>
      <c r="AN96" s="176" t="s">
        <v>807</v>
      </c>
      <c r="AO96" s="314">
        <v>7738680</v>
      </c>
    </row>
    <row r="97" spans="1:41">
      <c r="C97" s="150"/>
      <c r="D97" s="150" t="s">
        <v>112</v>
      </c>
      <c r="F97" s="169"/>
      <c r="G97" s="176"/>
      <c r="H97" s="154"/>
      <c r="J97" s="348" t="s">
        <v>230</v>
      </c>
      <c r="K97" s="341" t="s">
        <v>233</v>
      </c>
      <c r="L97" s="348" t="s">
        <v>445</v>
      </c>
      <c r="M97" s="351" t="s">
        <v>230</v>
      </c>
      <c r="N97" s="352" t="s">
        <v>233</v>
      </c>
      <c r="O97" s="351" t="s">
        <v>445</v>
      </c>
      <c r="P97" s="353" t="s">
        <v>230</v>
      </c>
      <c r="Q97" s="354" t="s">
        <v>233</v>
      </c>
      <c r="R97" s="353" t="s">
        <v>445</v>
      </c>
      <c r="S97" s="353" t="s">
        <v>230</v>
      </c>
      <c r="T97" s="354" t="s">
        <v>233</v>
      </c>
      <c r="U97" s="353" t="s">
        <v>445</v>
      </c>
      <c r="V97" s="361" t="s">
        <v>230</v>
      </c>
      <c r="W97" s="362" t="s">
        <v>233</v>
      </c>
      <c r="X97" s="361" t="s">
        <v>445</v>
      </c>
      <c r="Y97" s="365" t="s">
        <v>230</v>
      </c>
      <c r="Z97" s="366" t="s">
        <v>233</v>
      </c>
      <c r="AA97" s="365" t="s">
        <v>445</v>
      </c>
      <c r="AB97" s="369" t="s">
        <v>230</v>
      </c>
      <c r="AC97" s="370" t="s">
        <v>233</v>
      </c>
      <c r="AD97" s="369" t="s">
        <v>445</v>
      </c>
      <c r="AE97" s="380" t="s">
        <v>230</v>
      </c>
      <c r="AF97" s="381" t="s">
        <v>233</v>
      </c>
      <c r="AG97" s="380" t="s">
        <v>445</v>
      </c>
      <c r="AH97" s="382" t="s">
        <v>230</v>
      </c>
      <c r="AI97" s="383" t="s">
        <v>233</v>
      </c>
      <c r="AJ97" s="382" t="s">
        <v>445</v>
      </c>
      <c r="AK97" s="176"/>
      <c r="AL97" s="176"/>
      <c r="AM97" s="162" t="s">
        <v>688</v>
      </c>
      <c r="AN97" s="176" t="s">
        <v>807</v>
      </c>
      <c r="AO97" s="314">
        <v>3921615</v>
      </c>
    </row>
    <row r="98" spans="1:41">
      <c r="C98" s="150"/>
      <c r="D98" s="150"/>
      <c r="F98" s="169"/>
      <c r="G98" s="176"/>
      <c r="H98" s="154"/>
      <c r="I98" s="154"/>
      <c r="J98" s="169" t="s">
        <v>128</v>
      </c>
      <c r="K98" s="176" t="s">
        <v>818</v>
      </c>
      <c r="L98" s="176">
        <v>27759800</v>
      </c>
      <c r="M98" s="169" t="s">
        <v>827</v>
      </c>
      <c r="N98" s="176" t="s">
        <v>828</v>
      </c>
      <c r="O98" s="176">
        <v>25000000</v>
      </c>
      <c r="P98" s="357" t="s">
        <v>855</v>
      </c>
      <c r="Q98" s="357" t="s">
        <v>856</v>
      </c>
      <c r="R98" s="331">
        <v>2000000</v>
      </c>
      <c r="S98" s="358" t="s">
        <v>778</v>
      </c>
      <c r="T98" s="359" t="s">
        <v>858</v>
      </c>
      <c r="U98" s="285">
        <v>9856600</v>
      </c>
      <c r="V98" s="358" t="s">
        <v>800</v>
      </c>
      <c r="W98" s="359" t="s">
        <v>858</v>
      </c>
      <c r="X98" s="285">
        <v>5504665</v>
      </c>
      <c r="Y98" s="358" t="s">
        <v>778</v>
      </c>
      <c r="Z98" s="359" t="s">
        <v>862</v>
      </c>
      <c r="AA98" s="285">
        <v>6750000</v>
      </c>
      <c r="AB98" s="358" t="s">
        <v>900</v>
      </c>
      <c r="AC98" s="359" t="s">
        <v>901</v>
      </c>
      <c r="AD98" s="285">
        <v>1242125</v>
      </c>
      <c r="AE98" s="284" t="s">
        <v>778</v>
      </c>
      <c r="AF98" s="285" t="s">
        <v>858</v>
      </c>
      <c r="AG98" s="285">
        <v>9137900</v>
      </c>
      <c r="AH98" s="358" t="s">
        <v>554</v>
      </c>
      <c r="AI98" s="359" t="s">
        <v>555</v>
      </c>
      <c r="AJ98" s="285">
        <v>1006500</v>
      </c>
      <c r="AK98" s="410"/>
      <c r="AL98" s="227"/>
      <c r="AM98" s="162" t="s">
        <v>464</v>
      </c>
      <c r="AN98" s="176" t="s">
        <v>807</v>
      </c>
      <c r="AO98" s="314">
        <v>15378661</v>
      </c>
    </row>
    <row r="99" spans="1:41">
      <c r="C99" s="150"/>
      <c r="D99" s="150"/>
      <c r="F99" s="169"/>
      <c r="G99" s="176"/>
      <c r="H99" s="154"/>
      <c r="I99" s="154"/>
      <c r="J99" s="169" t="s">
        <v>128</v>
      </c>
      <c r="K99" s="176" t="s">
        <v>818</v>
      </c>
      <c r="L99" s="176">
        <v>27759800</v>
      </c>
      <c r="M99" s="169" t="s">
        <v>131</v>
      </c>
      <c r="N99" s="176" t="s">
        <v>829</v>
      </c>
      <c r="O99" s="176">
        <v>1613550</v>
      </c>
      <c r="P99" s="357"/>
      <c r="Q99" s="357"/>
      <c r="R99" s="331"/>
      <c r="S99" s="358" t="s">
        <v>859</v>
      </c>
      <c r="T99" s="359" t="s">
        <v>858</v>
      </c>
      <c r="U99" s="285">
        <v>8866450</v>
      </c>
      <c r="V99" s="358" t="s">
        <v>782</v>
      </c>
      <c r="W99" s="359" t="s">
        <v>858</v>
      </c>
      <c r="X99" s="285">
        <v>846000</v>
      </c>
      <c r="Y99" s="358" t="s">
        <v>688</v>
      </c>
      <c r="Z99" s="359" t="s">
        <v>882</v>
      </c>
      <c r="AA99" s="285">
        <v>17603385</v>
      </c>
      <c r="AB99" s="358"/>
      <c r="AC99" s="359"/>
      <c r="AD99" s="285"/>
      <c r="AE99" s="284" t="s">
        <v>724</v>
      </c>
      <c r="AF99" s="285" t="s">
        <v>903</v>
      </c>
      <c r="AG99" s="285">
        <v>13615725</v>
      </c>
      <c r="AH99" s="358" t="s">
        <v>920</v>
      </c>
      <c r="AI99" s="359" t="s">
        <v>913</v>
      </c>
      <c r="AJ99" s="285">
        <v>3552000</v>
      </c>
      <c r="AK99" s="410"/>
      <c r="AL99" s="227"/>
      <c r="AM99" s="162" t="s">
        <v>465</v>
      </c>
      <c r="AN99" s="176" t="s">
        <v>807</v>
      </c>
      <c r="AO99" s="314">
        <v>13939394</v>
      </c>
    </row>
    <row r="100" spans="1:41">
      <c r="C100" s="150"/>
      <c r="D100" s="150"/>
      <c r="F100" s="169"/>
      <c r="G100" s="176"/>
      <c r="H100" s="154"/>
      <c r="I100" s="154"/>
      <c r="J100" s="169" t="s">
        <v>128</v>
      </c>
      <c r="K100" s="176" t="s">
        <v>818</v>
      </c>
      <c r="L100" s="176">
        <v>27759800</v>
      </c>
      <c r="M100" s="169" t="s">
        <v>830</v>
      </c>
      <c r="N100" s="176" t="s">
        <v>829</v>
      </c>
      <c r="O100" s="176">
        <v>2064000</v>
      </c>
      <c r="P100" s="408" t="s">
        <v>241</v>
      </c>
      <c r="Q100" s="408"/>
      <c r="R100" s="227">
        <f>SUM(R79:R98)</f>
        <v>2000000</v>
      </c>
      <c r="S100" s="358" t="s">
        <v>860</v>
      </c>
      <c r="T100" s="359" t="s">
        <v>858</v>
      </c>
      <c r="U100" s="285">
        <v>6169600</v>
      </c>
      <c r="V100" s="358" t="s">
        <v>878</v>
      </c>
      <c r="W100" s="359" t="s">
        <v>879</v>
      </c>
      <c r="X100" s="285">
        <v>689502</v>
      </c>
      <c r="Y100" s="358" t="s">
        <v>464</v>
      </c>
      <c r="Z100" s="359" t="s">
        <v>883</v>
      </c>
      <c r="AA100" s="285">
        <v>7216900</v>
      </c>
      <c r="AB100" s="408" t="s">
        <v>241</v>
      </c>
      <c r="AC100" s="408"/>
      <c r="AD100" s="227">
        <f>SUM(AD98:AD99)</f>
        <v>1242125</v>
      </c>
      <c r="AE100" s="284" t="s">
        <v>831</v>
      </c>
      <c r="AF100" s="285" t="s">
        <v>858</v>
      </c>
      <c r="AG100" s="285">
        <v>6775300</v>
      </c>
      <c r="AH100" s="358" t="s">
        <v>851</v>
      </c>
      <c r="AI100" s="359" t="s">
        <v>910</v>
      </c>
      <c r="AJ100" s="285">
        <v>1198127</v>
      </c>
      <c r="AK100" s="350"/>
      <c r="AL100" s="227"/>
      <c r="AM100" s="162"/>
      <c r="AN100" s="176"/>
      <c r="AO100" s="314"/>
    </row>
    <row r="101" spans="1:41">
      <c r="C101" s="150"/>
      <c r="D101" s="150"/>
      <c r="F101" s="169"/>
      <c r="G101" s="176"/>
      <c r="H101" s="154"/>
      <c r="I101" s="154"/>
      <c r="J101" s="169" t="s">
        <v>819</v>
      </c>
      <c r="K101" s="176" t="s">
        <v>820</v>
      </c>
      <c r="L101" s="176">
        <v>1990000</v>
      </c>
      <c r="M101" s="169" t="s">
        <v>831</v>
      </c>
      <c r="N101" s="176" t="s">
        <v>829</v>
      </c>
      <c r="O101" s="176">
        <v>1817200</v>
      </c>
      <c r="P101" s="406" t="s">
        <v>50</v>
      </c>
      <c r="Q101" s="407"/>
      <c r="R101" s="227">
        <v>1066022955</v>
      </c>
      <c r="S101" s="358" t="s">
        <v>464</v>
      </c>
      <c r="T101" s="359" t="s">
        <v>858</v>
      </c>
      <c r="U101" s="285">
        <v>9784583</v>
      </c>
      <c r="V101" s="358" t="s">
        <v>709</v>
      </c>
      <c r="W101" s="359" t="s">
        <v>880</v>
      </c>
      <c r="X101" s="285">
        <v>12020000</v>
      </c>
      <c r="Y101" s="358" t="s">
        <v>466</v>
      </c>
      <c r="Z101" s="359" t="s">
        <v>884</v>
      </c>
      <c r="AA101" s="285">
        <v>5770000</v>
      </c>
      <c r="AB101" s="406" t="s">
        <v>50</v>
      </c>
      <c r="AC101" s="407"/>
      <c r="AD101" s="227">
        <v>881499050</v>
      </c>
      <c r="AE101" s="284" t="s">
        <v>832</v>
      </c>
      <c r="AF101" s="285" t="s">
        <v>904</v>
      </c>
      <c r="AG101" s="285">
        <v>15705732</v>
      </c>
      <c r="AH101" s="359" t="s">
        <v>851</v>
      </c>
      <c r="AI101" s="359" t="s">
        <v>915</v>
      </c>
      <c r="AJ101" s="285">
        <v>594197</v>
      </c>
      <c r="AK101" s="350"/>
      <c r="AL101" s="227"/>
      <c r="AM101" s="162"/>
      <c r="AN101" s="176"/>
      <c r="AO101" s="314"/>
    </row>
    <row r="102" spans="1:41">
      <c r="C102" s="150"/>
      <c r="D102" s="150"/>
      <c r="F102" s="169"/>
      <c r="G102" s="176"/>
      <c r="H102" s="154"/>
      <c r="I102" s="154"/>
      <c r="J102" s="169" t="s">
        <v>782</v>
      </c>
      <c r="K102" s="176" t="s">
        <v>821</v>
      </c>
      <c r="L102" s="176">
        <v>100000</v>
      </c>
      <c r="M102" s="169" t="s">
        <v>832</v>
      </c>
      <c r="N102" s="176" t="s">
        <v>829</v>
      </c>
      <c r="O102" s="176">
        <v>2190769</v>
      </c>
      <c r="P102" s="406" t="s">
        <v>825</v>
      </c>
      <c r="Q102" s="407"/>
      <c r="R102" s="227">
        <f>R101-R100</f>
        <v>1064022955</v>
      </c>
      <c r="S102" s="358" t="s">
        <v>594</v>
      </c>
      <c r="T102" s="359" t="s">
        <v>858</v>
      </c>
      <c r="U102" s="285">
        <v>14671100</v>
      </c>
      <c r="V102" s="358"/>
      <c r="W102" s="359"/>
      <c r="X102" s="285"/>
      <c r="Y102" s="358" t="s">
        <v>467</v>
      </c>
      <c r="Z102" s="359" t="s">
        <v>630</v>
      </c>
      <c r="AA102" s="285">
        <v>2620000</v>
      </c>
      <c r="AB102" s="406" t="s">
        <v>825</v>
      </c>
      <c r="AC102" s="407"/>
      <c r="AD102" s="227">
        <f>AD101-AD100</f>
        <v>880256925</v>
      </c>
      <c r="AE102" s="284" t="s">
        <v>833</v>
      </c>
      <c r="AF102" s="285" t="s">
        <v>905</v>
      </c>
      <c r="AG102" s="285">
        <v>20974312</v>
      </c>
      <c r="AH102" s="359" t="s">
        <v>921</v>
      </c>
      <c r="AI102" s="359" t="s">
        <v>129</v>
      </c>
      <c r="AJ102" s="285">
        <v>910000</v>
      </c>
      <c r="AK102" s="350"/>
      <c r="AL102" s="227"/>
      <c r="AM102" s="162"/>
      <c r="AN102" s="176"/>
      <c r="AO102" s="314"/>
    </row>
    <row r="103" spans="1:41">
      <c r="C103" s="150"/>
      <c r="D103" s="150"/>
      <c r="F103" s="169"/>
      <c r="G103" s="176"/>
      <c r="H103" s="154"/>
      <c r="I103" s="154"/>
      <c r="J103" s="169" t="s">
        <v>819</v>
      </c>
      <c r="K103" s="176" t="s">
        <v>822</v>
      </c>
      <c r="L103" s="176">
        <v>8225003</v>
      </c>
      <c r="M103" s="169" t="s">
        <v>833</v>
      </c>
      <c r="N103" s="176" t="s">
        <v>829</v>
      </c>
      <c r="O103" s="176">
        <v>3346000</v>
      </c>
      <c r="P103" s="349"/>
      <c r="Q103" s="349"/>
      <c r="R103" s="331"/>
      <c r="S103" s="358" t="s">
        <v>466</v>
      </c>
      <c r="T103" s="359" t="s">
        <v>858</v>
      </c>
      <c r="U103" s="285">
        <v>12200284</v>
      </c>
      <c r="V103" s="408" t="s">
        <v>241</v>
      </c>
      <c r="W103" s="408"/>
      <c r="X103" s="227">
        <f>SUM(X79:X102)</f>
        <v>19060167</v>
      </c>
      <c r="Y103" s="358" t="s">
        <v>469</v>
      </c>
      <c r="Z103" s="359" t="s">
        <v>885</v>
      </c>
      <c r="AA103" s="285">
        <v>60867425</v>
      </c>
      <c r="AD103" s="169"/>
      <c r="AE103" s="284" t="s">
        <v>834</v>
      </c>
      <c r="AF103" s="285" t="s">
        <v>917</v>
      </c>
      <c r="AG103" s="285">
        <v>55519867</v>
      </c>
      <c r="AH103" s="359" t="s">
        <v>922</v>
      </c>
      <c r="AI103" s="359" t="s">
        <v>583</v>
      </c>
      <c r="AJ103" s="285">
        <v>800000</v>
      </c>
      <c r="AK103" s="350"/>
      <c r="AL103" s="227"/>
      <c r="AM103" s="162"/>
      <c r="AN103" s="176"/>
      <c r="AO103" s="314"/>
    </row>
    <row r="104" spans="1:41">
      <c r="C104" s="150"/>
      <c r="D104" s="150"/>
      <c r="F104" s="169"/>
      <c r="G104" s="176"/>
      <c r="H104" s="154"/>
      <c r="I104" s="154"/>
      <c r="J104" s="169" t="s">
        <v>554</v>
      </c>
      <c r="K104" s="176" t="s">
        <v>555</v>
      </c>
      <c r="L104" s="176">
        <v>110000</v>
      </c>
      <c r="M104" s="169" t="s">
        <v>834</v>
      </c>
      <c r="N104" s="176" t="s">
        <v>829</v>
      </c>
      <c r="O104" s="176">
        <v>1869600</v>
      </c>
      <c r="P104" s="349"/>
      <c r="Q104" s="349"/>
      <c r="R104" s="331"/>
      <c r="S104" s="358" t="s">
        <v>467</v>
      </c>
      <c r="T104" s="359" t="s">
        <v>858</v>
      </c>
      <c r="U104" s="285">
        <v>18160720</v>
      </c>
      <c r="V104" s="406" t="s">
        <v>50</v>
      </c>
      <c r="W104" s="407"/>
      <c r="X104" s="227">
        <v>1039767282</v>
      </c>
      <c r="Y104" s="358" t="s">
        <v>470</v>
      </c>
      <c r="Z104" s="359" t="s">
        <v>886</v>
      </c>
      <c r="AA104" s="285">
        <v>8663810</v>
      </c>
      <c r="AD104" s="169"/>
      <c r="AE104" s="284" t="s">
        <v>835</v>
      </c>
      <c r="AF104" s="285" t="s">
        <v>773</v>
      </c>
      <c r="AG104" s="285">
        <v>27585125</v>
      </c>
      <c r="AH104" s="176"/>
      <c r="AI104" s="176"/>
      <c r="AJ104" s="285"/>
      <c r="AK104" s="350"/>
      <c r="AL104" s="227"/>
      <c r="AM104" s="162"/>
      <c r="AN104" s="176"/>
      <c r="AO104" s="314"/>
    </row>
    <row r="105" spans="1:41">
      <c r="C105" s="150"/>
      <c r="D105" s="150"/>
      <c r="F105" s="169"/>
      <c r="G105" s="176"/>
      <c r="H105" s="154"/>
      <c r="I105" s="154"/>
      <c r="J105" s="169" t="s">
        <v>823</v>
      </c>
      <c r="K105" s="176" t="s">
        <v>824</v>
      </c>
      <c r="L105" s="176">
        <v>7840000</v>
      </c>
      <c r="M105" s="169" t="s">
        <v>835</v>
      </c>
      <c r="N105" s="176" t="s">
        <v>829</v>
      </c>
      <c r="O105" s="176">
        <v>2570400</v>
      </c>
      <c r="P105" s="349"/>
      <c r="Q105" s="349"/>
      <c r="R105" s="331"/>
      <c r="S105" s="358" t="s">
        <v>468</v>
      </c>
      <c r="T105" s="359" t="s">
        <v>858</v>
      </c>
      <c r="U105" s="285">
        <v>10157436</v>
      </c>
      <c r="V105" s="406" t="s">
        <v>825</v>
      </c>
      <c r="W105" s="407"/>
      <c r="X105" s="227">
        <f>X104-X103</f>
        <v>1020707115</v>
      </c>
      <c r="Y105" s="358" t="s">
        <v>472</v>
      </c>
      <c r="Z105" s="359" t="s">
        <v>887</v>
      </c>
      <c r="AA105" s="285">
        <v>7666545</v>
      </c>
      <c r="AD105" s="169"/>
      <c r="AE105" s="284" t="s">
        <v>836</v>
      </c>
      <c r="AF105" s="285" t="s">
        <v>858</v>
      </c>
      <c r="AG105" s="285">
        <v>9958398</v>
      </c>
      <c r="AH105" s="176" t="s">
        <v>241</v>
      </c>
      <c r="AI105" s="176"/>
      <c r="AJ105" s="285">
        <f>SUM(AJ98:AJ104)</f>
        <v>8060824</v>
      </c>
      <c r="AK105" s="350"/>
      <c r="AL105" s="227"/>
      <c r="AM105" s="162"/>
      <c r="AN105" s="176"/>
      <c r="AO105" s="314"/>
    </row>
    <row r="106" spans="1:41">
      <c r="C106" s="150"/>
      <c r="D106" s="150"/>
      <c r="F106" s="228"/>
      <c r="G106" s="248"/>
      <c r="H106" s="154"/>
      <c r="I106" s="154"/>
      <c r="J106" s="169"/>
      <c r="K106" s="176"/>
      <c r="L106" s="176"/>
      <c r="M106" s="169" t="s">
        <v>836</v>
      </c>
      <c r="N106" s="176" t="s">
        <v>837</v>
      </c>
      <c r="O106" s="176">
        <v>2389500</v>
      </c>
      <c r="P106" s="355"/>
      <c r="Q106" s="355"/>
      <c r="R106" s="331"/>
      <c r="S106" s="358" t="s">
        <v>469</v>
      </c>
      <c r="T106" s="359" t="s">
        <v>858</v>
      </c>
      <c r="U106" s="285">
        <v>29537700</v>
      </c>
      <c r="W106" s="248"/>
      <c r="X106" s="154"/>
      <c r="Y106" s="358" t="s">
        <v>888</v>
      </c>
      <c r="Z106" s="359" t="s">
        <v>726</v>
      </c>
      <c r="AA106" s="285">
        <v>2775000</v>
      </c>
      <c r="AD106" s="169"/>
      <c r="AE106" s="284" t="s">
        <v>838</v>
      </c>
      <c r="AF106" s="285" t="s">
        <v>906</v>
      </c>
      <c r="AG106" s="285">
        <v>36658824</v>
      </c>
      <c r="AH106" s="176" t="s">
        <v>50</v>
      </c>
      <c r="AI106" s="176"/>
      <c r="AJ106" s="285">
        <v>2056270074</v>
      </c>
      <c r="AK106" s="356"/>
      <c r="AL106" s="345"/>
      <c r="AM106" s="162"/>
      <c r="AN106" s="176"/>
      <c r="AO106" s="314"/>
    </row>
    <row r="107" spans="1:41">
      <c r="A107" s="150" t="s">
        <v>895</v>
      </c>
      <c r="C107" s="150"/>
      <c r="D107" s="150"/>
      <c r="F107" s="228"/>
      <c r="G107" s="248"/>
      <c r="H107" s="154"/>
      <c r="I107" s="154"/>
      <c r="J107" s="169"/>
      <c r="K107" s="176"/>
      <c r="L107" s="176"/>
      <c r="M107" s="169" t="s">
        <v>838</v>
      </c>
      <c r="N107" s="176" t="s">
        <v>839</v>
      </c>
      <c r="O107" s="176">
        <v>33068076</v>
      </c>
      <c r="P107" s="355"/>
      <c r="Q107" s="355"/>
      <c r="R107" s="331"/>
      <c r="S107" s="358" t="s">
        <v>470</v>
      </c>
      <c r="T107" s="359" t="s">
        <v>861</v>
      </c>
      <c r="U107" s="285">
        <v>33564562</v>
      </c>
      <c r="W107" s="154"/>
      <c r="X107" s="154"/>
      <c r="Y107" s="358" t="s">
        <v>782</v>
      </c>
      <c r="Z107" s="359" t="s">
        <v>889</v>
      </c>
      <c r="AA107" s="285">
        <v>400000</v>
      </c>
      <c r="AD107" s="169"/>
      <c r="AE107" s="284" t="s">
        <v>840</v>
      </c>
      <c r="AF107" s="285" t="s">
        <v>907</v>
      </c>
      <c r="AG107" s="285">
        <v>51779690</v>
      </c>
      <c r="AH107" s="176" t="s">
        <v>110</v>
      </c>
      <c r="AI107" s="176"/>
      <c r="AJ107" s="285">
        <f>AJ106-AJ105</f>
        <v>2048209250</v>
      </c>
      <c r="AK107" s="356"/>
      <c r="AL107" s="345"/>
      <c r="AM107" s="162"/>
      <c r="AN107" s="176"/>
      <c r="AO107" s="314"/>
    </row>
    <row r="108" spans="1:41">
      <c r="C108" s="150"/>
      <c r="D108" s="150"/>
      <c r="F108" s="228"/>
      <c r="G108" s="248"/>
      <c r="H108" s="154"/>
      <c r="I108" s="154"/>
      <c r="J108" s="169"/>
      <c r="K108" s="176"/>
      <c r="L108" s="176"/>
      <c r="M108" s="169" t="s">
        <v>840</v>
      </c>
      <c r="N108" s="176" t="s">
        <v>841</v>
      </c>
      <c r="O108" s="176">
        <v>37790372</v>
      </c>
      <c r="P108" s="355"/>
      <c r="Q108" s="355"/>
      <c r="R108" s="331"/>
      <c r="S108" s="358" t="s">
        <v>806</v>
      </c>
      <c r="T108" s="359" t="s">
        <v>858</v>
      </c>
      <c r="U108" s="285">
        <v>17490126</v>
      </c>
      <c r="W108" s="154"/>
      <c r="X108" s="154"/>
      <c r="Y108" s="358" t="s">
        <v>709</v>
      </c>
      <c r="Z108" s="359" t="s">
        <v>890</v>
      </c>
      <c r="AA108" s="285">
        <v>19125000</v>
      </c>
      <c r="AD108" s="169" t="s">
        <v>464</v>
      </c>
      <c r="AE108" s="284" t="s">
        <v>229</v>
      </c>
      <c r="AF108" s="285" t="s">
        <v>773</v>
      </c>
      <c r="AG108" s="285">
        <v>20320637</v>
      </c>
      <c r="AH108" s="288"/>
      <c r="AI108" s="288"/>
      <c r="AJ108" s="411"/>
      <c r="AK108" s="356"/>
      <c r="AL108" s="345"/>
      <c r="AM108" s="162"/>
      <c r="AN108" s="176"/>
      <c r="AO108" s="314"/>
    </row>
    <row r="109" spans="1:41">
      <c r="C109" s="150"/>
      <c r="D109" s="150"/>
      <c r="F109" s="228"/>
      <c r="G109" s="248"/>
      <c r="H109" s="154"/>
      <c r="I109" s="154"/>
      <c r="J109" s="169"/>
      <c r="K109" s="176"/>
      <c r="L109" s="176"/>
      <c r="M109" s="169" t="s">
        <v>135</v>
      </c>
      <c r="N109" s="176" t="s">
        <v>842</v>
      </c>
      <c r="O109" s="176">
        <v>8562930</v>
      </c>
      <c r="P109" s="355"/>
      <c r="Q109" s="355"/>
      <c r="R109" s="331"/>
      <c r="S109" s="358" t="s">
        <v>472</v>
      </c>
      <c r="T109" s="359"/>
      <c r="U109" s="359">
        <v>12153036</v>
      </c>
      <c r="W109" s="154"/>
      <c r="X109" s="154"/>
      <c r="Y109" s="358"/>
      <c r="Z109" s="359"/>
      <c r="AA109" s="285"/>
      <c r="AD109" s="169" t="s">
        <v>467</v>
      </c>
      <c r="AE109" s="284" t="s">
        <v>843</v>
      </c>
      <c r="AF109" s="285" t="s">
        <v>773</v>
      </c>
      <c r="AG109" s="285">
        <v>17360875</v>
      </c>
      <c r="AH109" s="176"/>
      <c r="AI109" s="176"/>
      <c r="AJ109" s="356"/>
      <c r="AK109" s="356"/>
      <c r="AL109" s="345"/>
      <c r="AM109" s="162"/>
      <c r="AN109" s="176"/>
      <c r="AO109" s="314"/>
    </row>
    <row r="110" spans="1:41">
      <c r="B110" s="150" t="s">
        <v>111</v>
      </c>
      <c r="C110" s="150"/>
      <c r="D110" s="150"/>
      <c r="F110" s="228"/>
      <c r="G110" s="248"/>
      <c r="H110" s="154"/>
      <c r="I110" s="154"/>
      <c r="J110" s="169"/>
      <c r="K110" s="176"/>
      <c r="L110" s="176"/>
      <c r="M110" s="169" t="s">
        <v>843</v>
      </c>
      <c r="N110" s="176" t="s">
        <v>844</v>
      </c>
      <c r="O110" s="176">
        <v>4660616</v>
      </c>
      <c r="P110" s="355"/>
      <c r="Q110" s="355"/>
      <c r="R110" s="331"/>
      <c r="S110" s="358" t="s">
        <v>565</v>
      </c>
      <c r="T110" s="359" t="s">
        <v>862</v>
      </c>
      <c r="U110" s="359">
        <v>13900000</v>
      </c>
      <c r="W110" s="154"/>
      <c r="X110" s="154"/>
      <c r="Y110" s="408" t="s">
        <v>241</v>
      </c>
      <c r="Z110" s="408"/>
      <c r="AA110" s="227">
        <f>SUM(AA79:AA109)</f>
        <v>139458065</v>
      </c>
      <c r="AD110" s="169" t="s">
        <v>469</v>
      </c>
      <c r="AE110" s="284"/>
      <c r="AF110" s="285" t="s">
        <v>236</v>
      </c>
      <c r="AG110" s="285">
        <v>3525001</v>
      </c>
      <c r="AH110" s="176"/>
      <c r="AI110" s="176"/>
      <c r="AJ110" s="356"/>
      <c r="AK110" s="356"/>
      <c r="AL110" s="345"/>
      <c r="AM110" s="162"/>
      <c r="AN110" s="176"/>
      <c r="AO110" s="314"/>
    </row>
    <row r="111" spans="1:41">
      <c r="C111" s="150"/>
      <c r="D111" s="150"/>
      <c r="F111" s="228"/>
      <c r="G111" s="248"/>
      <c r="H111" s="154"/>
      <c r="I111" s="154"/>
      <c r="J111" s="169"/>
      <c r="K111" s="176"/>
      <c r="L111" s="176"/>
      <c r="M111" s="169" t="s">
        <v>782</v>
      </c>
      <c r="N111" s="176" t="s">
        <v>845</v>
      </c>
      <c r="O111" s="176">
        <v>86411500</v>
      </c>
      <c r="P111" s="355"/>
      <c r="Q111" s="355"/>
      <c r="R111" s="331"/>
      <c r="S111" s="358" t="s">
        <v>863</v>
      </c>
      <c r="T111" s="359" t="s">
        <v>864</v>
      </c>
      <c r="U111" s="359">
        <v>6865568</v>
      </c>
      <c r="W111" s="154"/>
      <c r="X111" s="154"/>
      <c r="Y111" s="406" t="s">
        <v>50</v>
      </c>
      <c r="Z111" s="407"/>
      <c r="AA111" s="227">
        <v>1020957115</v>
      </c>
      <c r="AD111" s="169" t="s">
        <v>470</v>
      </c>
      <c r="AE111" s="284"/>
      <c r="AF111" s="285" t="s">
        <v>909</v>
      </c>
      <c r="AG111" s="285">
        <v>1047166</v>
      </c>
      <c r="AH111" s="176"/>
      <c r="AI111" s="176"/>
      <c r="AJ111" s="356"/>
      <c r="AK111" s="356"/>
      <c r="AL111" s="345"/>
      <c r="AM111" s="162"/>
      <c r="AN111" s="176"/>
      <c r="AO111" s="314"/>
    </row>
    <row r="112" spans="1:41">
      <c r="C112" s="150"/>
      <c r="D112" s="150"/>
      <c r="F112" s="228"/>
      <c r="G112" s="248"/>
      <c r="H112" s="154"/>
      <c r="I112" s="154"/>
      <c r="J112" s="169"/>
      <c r="K112" s="176"/>
      <c r="L112" s="176"/>
      <c r="M112" s="169" t="s">
        <v>846</v>
      </c>
      <c r="N112" s="176" t="s">
        <v>847</v>
      </c>
      <c r="O112" s="176">
        <v>1005500</v>
      </c>
      <c r="P112" s="355"/>
      <c r="Q112" s="355"/>
      <c r="R112" s="331"/>
      <c r="S112" s="358" t="s">
        <v>863</v>
      </c>
      <c r="T112" s="359" t="s">
        <v>865</v>
      </c>
      <c r="U112" s="359">
        <v>65277127</v>
      </c>
      <c r="W112" s="154"/>
      <c r="X112" s="154"/>
      <c r="Y112" s="406" t="s">
        <v>825</v>
      </c>
      <c r="Z112" s="407"/>
      <c r="AA112" s="227">
        <f>AA111-AA110</f>
        <v>881499050</v>
      </c>
      <c r="AD112" s="169" t="s">
        <v>471</v>
      </c>
      <c r="AE112" s="284"/>
      <c r="AF112" s="285" t="s">
        <v>795</v>
      </c>
      <c r="AG112" s="285">
        <v>6427650</v>
      </c>
      <c r="AH112" s="176"/>
      <c r="AI112" s="176"/>
      <c r="AJ112" s="356"/>
      <c r="AK112" s="356"/>
      <c r="AL112" s="345"/>
      <c r="AM112" s="162"/>
      <c r="AN112" s="176"/>
      <c r="AO112" s="314"/>
    </row>
    <row r="113" spans="2:42">
      <c r="C113" s="150"/>
      <c r="D113" s="150"/>
      <c r="F113" s="228"/>
      <c r="G113" s="248"/>
      <c r="H113" s="154"/>
      <c r="I113" s="154"/>
      <c r="J113" s="169"/>
      <c r="K113" s="176"/>
      <c r="L113" s="176"/>
      <c r="M113" s="169" t="s">
        <v>848</v>
      </c>
      <c r="N113" s="176" t="s">
        <v>849</v>
      </c>
      <c r="O113" s="176">
        <v>343000</v>
      </c>
      <c r="P113" s="355"/>
      <c r="Q113" s="355"/>
      <c r="R113" s="331"/>
      <c r="S113" s="358" t="s">
        <v>780</v>
      </c>
      <c r="T113" s="359" t="s">
        <v>866</v>
      </c>
      <c r="U113" s="359">
        <v>41577093</v>
      </c>
      <c r="W113" s="154"/>
      <c r="X113" s="154"/>
      <c r="Y113" s="154"/>
      <c r="Z113" s="154"/>
      <c r="AD113" s="169" t="s">
        <v>780</v>
      </c>
      <c r="AE113" s="284"/>
      <c r="AF113" s="285" t="s">
        <v>918</v>
      </c>
      <c r="AG113" s="285">
        <v>19840769</v>
      </c>
      <c r="AH113" s="176"/>
      <c r="AI113" s="176"/>
      <c r="AJ113" s="356"/>
      <c r="AK113" s="356"/>
      <c r="AL113" s="345"/>
      <c r="AM113" s="162"/>
      <c r="AN113" s="176"/>
      <c r="AO113" s="314"/>
    </row>
    <row r="114" spans="2:42">
      <c r="C114" s="150"/>
      <c r="D114" s="150"/>
      <c r="F114" s="228"/>
      <c r="G114" s="248"/>
      <c r="H114" s="154"/>
      <c r="I114" s="154"/>
      <c r="J114" s="169"/>
      <c r="K114" s="176"/>
      <c r="L114" s="176"/>
      <c r="M114" s="169" t="s">
        <v>850</v>
      </c>
      <c r="N114" s="176" t="s">
        <v>522</v>
      </c>
      <c r="O114" s="176">
        <v>436000</v>
      </c>
      <c r="P114" s="355"/>
      <c r="Q114" s="355"/>
      <c r="R114" s="331"/>
      <c r="S114" s="358" t="s">
        <v>780</v>
      </c>
      <c r="T114" s="359" t="s">
        <v>553</v>
      </c>
      <c r="U114" s="359">
        <v>196049318</v>
      </c>
      <c r="W114" s="154"/>
      <c r="X114" s="154"/>
      <c r="Y114" s="154"/>
      <c r="Z114" s="154"/>
      <c r="AD114" s="169" t="s">
        <v>782</v>
      </c>
      <c r="AE114" s="408" t="s">
        <v>241</v>
      </c>
      <c r="AF114" s="408"/>
      <c r="AG114" s="227">
        <f>SUM(AG98:AG113)</f>
        <v>316232971</v>
      </c>
      <c r="AH114" s="176"/>
      <c r="AI114" s="176"/>
      <c r="AJ114" s="356"/>
      <c r="AK114" s="356"/>
      <c r="AL114" s="345"/>
      <c r="AM114" s="162"/>
      <c r="AN114" s="176"/>
      <c r="AO114" s="314"/>
    </row>
    <row r="115" spans="2:42">
      <c r="C115" s="150"/>
      <c r="D115" s="150"/>
      <c r="F115" s="228"/>
      <c r="G115" s="248"/>
      <c r="H115" s="154"/>
      <c r="I115" s="154"/>
      <c r="J115" s="169"/>
      <c r="K115" s="176"/>
      <c r="L115" s="176"/>
      <c r="M115" s="169" t="s">
        <v>851</v>
      </c>
      <c r="N115" s="176" t="s">
        <v>852</v>
      </c>
      <c r="O115" s="176">
        <v>1163060</v>
      </c>
      <c r="P115" s="355"/>
      <c r="Q115" s="355"/>
      <c r="R115" s="331"/>
      <c r="S115" s="358" t="s">
        <v>780</v>
      </c>
      <c r="T115" s="359" t="s">
        <v>552</v>
      </c>
      <c r="U115" s="359">
        <v>9786724</v>
      </c>
      <c r="W115" s="154"/>
      <c r="X115" s="154"/>
      <c r="Y115" s="154"/>
      <c r="Z115" s="154"/>
      <c r="AD115" s="169" t="s">
        <v>771</v>
      </c>
      <c r="AE115" s="406" t="s">
        <v>50</v>
      </c>
      <c r="AF115" s="407"/>
      <c r="AG115" s="227">
        <v>892503045</v>
      </c>
      <c r="AH115" s="176"/>
      <c r="AI115" s="176"/>
      <c r="AJ115" s="356"/>
      <c r="AK115" s="356"/>
      <c r="AL115" s="345"/>
      <c r="AM115" s="162"/>
      <c r="AN115" s="176"/>
      <c r="AO115" s="314"/>
    </row>
    <row r="116" spans="2:42">
      <c r="C116" s="150"/>
      <c r="D116" s="150"/>
      <c r="F116" s="228"/>
      <c r="G116" s="248"/>
      <c r="H116" s="154"/>
      <c r="I116" s="154"/>
      <c r="J116" s="169"/>
      <c r="K116" s="176"/>
      <c r="L116" s="176"/>
      <c r="M116" s="169" t="s">
        <v>853</v>
      </c>
      <c r="N116" s="176" t="s">
        <v>854</v>
      </c>
      <c r="O116" s="176">
        <v>3975000</v>
      </c>
      <c r="P116" s="355"/>
      <c r="Q116" s="355"/>
      <c r="R116" s="331"/>
      <c r="S116" s="358" t="s">
        <v>867</v>
      </c>
      <c r="T116" s="359"/>
      <c r="U116" s="359">
        <v>15000000</v>
      </c>
      <c r="W116" s="154"/>
      <c r="X116" s="154"/>
      <c r="Y116" s="154"/>
      <c r="Z116" s="154"/>
      <c r="AD116" s="169"/>
      <c r="AE116" s="406" t="s">
        <v>825</v>
      </c>
      <c r="AF116" s="407"/>
      <c r="AG116" s="227">
        <f>AG115-AG114</f>
        <v>576270074</v>
      </c>
      <c r="AH116" s="176"/>
      <c r="AI116" s="176"/>
      <c r="AJ116" s="356"/>
      <c r="AK116" s="356"/>
      <c r="AL116" s="345"/>
      <c r="AM116" s="162"/>
      <c r="AN116" s="176"/>
      <c r="AO116" s="314"/>
    </row>
    <row r="117" spans="2:42">
      <c r="D117" s="193"/>
      <c r="E117" s="154"/>
      <c r="G117" s="154"/>
      <c r="H117" s="154"/>
      <c r="I117" s="154"/>
      <c r="J117" s="180"/>
      <c r="K117" s="180"/>
      <c r="L117" s="176"/>
      <c r="M117" s="180"/>
      <c r="N117" s="180"/>
      <c r="O117" s="176"/>
      <c r="P117" s="154"/>
      <c r="Q117" s="154"/>
      <c r="R117" s="331"/>
      <c r="S117" s="357"/>
      <c r="T117" s="357"/>
      <c r="U117" s="360"/>
      <c r="W117" s="154"/>
      <c r="X117" s="154"/>
      <c r="Y117" s="154"/>
      <c r="Z117" s="154"/>
      <c r="AC117" s="150" t="s">
        <v>111</v>
      </c>
      <c r="AD117" s="367" t="s">
        <v>241</v>
      </c>
      <c r="AE117" s="284"/>
      <c r="AF117" s="285"/>
      <c r="AG117" s="285"/>
      <c r="AH117" s="176"/>
      <c r="AI117" s="176"/>
      <c r="AJ117" s="154"/>
      <c r="AM117" s="162"/>
      <c r="AN117" s="313"/>
      <c r="AO117" s="314"/>
    </row>
    <row r="118" spans="2:42" ht="16.5" customHeight="1">
      <c r="D118" s="193"/>
      <c r="E118" s="154"/>
      <c r="H118" s="154"/>
      <c r="I118" s="154"/>
      <c r="J118" s="408" t="s">
        <v>241</v>
      </c>
      <c r="K118" s="408"/>
      <c r="L118" s="227">
        <f>SUM(L98:L116)</f>
        <v>101544403</v>
      </c>
      <c r="M118" s="408" t="s">
        <v>241</v>
      </c>
      <c r="N118" s="408"/>
      <c r="O118" s="227">
        <f>SUM(O98:O116)</f>
        <v>220277073</v>
      </c>
      <c r="P118" s="154"/>
      <c r="Q118" s="154"/>
      <c r="R118" s="176" t="s">
        <v>565</v>
      </c>
      <c r="S118" s="357"/>
      <c r="T118" s="357"/>
      <c r="U118" s="331"/>
      <c r="W118" s="248"/>
      <c r="X118" s="248"/>
      <c r="Y118" s="154"/>
      <c r="Z118" s="154"/>
      <c r="AD118" s="369" t="s">
        <v>50</v>
      </c>
      <c r="AE118" s="284"/>
      <c r="AF118" s="285"/>
      <c r="AG118" s="285"/>
      <c r="AH118" s="169" t="s">
        <v>441</v>
      </c>
      <c r="AI118" s="176">
        <v>53520780</v>
      </c>
      <c r="AJ118" s="154"/>
      <c r="AM118" s="162" t="s">
        <v>469</v>
      </c>
      <c r="AN118" s="313" t="s">
        <v>810</v>
      </c>
      <c r="AO118" s="314">
        <v>34561090</v>
      </c>
      <c r="AP118" s="150" t="s">
        <v>108</v>
      </c>
    </row>
    <row r="119" spans="2:42">
      <c r="D119" s="193"/>
      <c r="E119" s="154" t="s">
        <v>111</v>
      </c>
      <c r="H119" s="154"/>
      <c r="I119" s="154"/>
      <c r="J119" s="406" t="s">
        <v>50</v>
      </c>
      <c r="K119" s="407"/>
      <c r="L119" s="227">
        <v>1386594431</v>
      </c>
      <c r="M119" s="406" t="s">
        <v>50</v>
      </c>
      <c r="N119" s="407"/>
      <c r="O119" s="227">
        <v>1285050028</v>
      </c>
      <c r="P119" s="154"/>
      <c r="Q119" s="154"/>
      <c r="R119" s="176" t="s">
        <v>135</v>
      </c>
      <c r="S119" s="408" t="s">
        <v>241</v>
      </c>
      <c r="T119" s="408"/>
      <c r="U119" s="227">
        <f>SUM(U79:U117)</f>
        <v>27411669399</v>
      </c>
      <c r="W119" s="248"/>
      <c r="X119" s="248"/>
      <c r="Y119" s="154"/>
      <c r="Z119" s="154"/>
      <c r="AB119" s="150" t="s">
        <v>111</v>
      </c>
      <c r="AD119" s="369" t="s">
        <v>110</v>
      </c>
      <c r="AE119" s="284"/>
      <c r="AF119" s="285"/>
      <c r="AG119" s="285"/>
      <c r="AH119" s="169" t="s">
        <v>798</v>
      </c>
      <c r="AI119" s="176">
        <v>7658550</v>
      </c>
      <c r="AJ119" s="154"/>
      <c r="AM119" s="162" t="s">
        <v>470</v>
      </c>
      <c r="AN119" s="313" t="s">
        <v>811</v>
      </c>
      <c r="AO119" s="314">
        <v>20658327</v>
      </c>
    </row>
    <row r="120" spans="2:42">
      <c r="D120" s="193"/>
      <c r="E120" s="154"/>
      <c r="H120" s="154"/>
      <c r="I120" s="154"/>
      <c r="J120" s="406" t="s">
        <v>825</v>
      </c>
      <c r="K120" s="407"/>
      <c r="L120" s="227">
        <f>L119-L118</f>
        <v>1285050028</v>
      </c>
      <c r="M120" s="406" t="s">
        <v>825</v>
      </c>
      <c r="N120" s="407"/>
      <c r="O120" s="227">
        <f>O119-O118</f>
        <v>1064772955</v>
      </c>
      <c r="P120" s="154"/>
      <c r="Q120" s="154"/>
      <c r="R120" s="176"/>
      <c r="S120" s="406" t="s">
        <v>50</v>
      </c>
      <c r="T120" s="407"/>
      <c r="U120" s="227">
        <v>1064022955</v>
      </c>
      <c r="X120" s="154"/>
      <c r="Y120" s="154"/>
      <c r="Z120" s="154"/>
      <c r="AD120" s="356"/>
      <c r="AE120" s="284"/>
      <c r="AF120" s="285" t="s">
        <v>908</v>
      </c>
      <c r="AG120" s="285">
        <v>7636630</v>
      </c>
      <c r="AH120" s="176"/>
      <c r="AI120" s="176"/>
      <c r="AJ120" s="154"/>
      <c r="AM120" s="162" t="s">
        <v>806</v>
      </c>
      <c r="AN120" s="313" t="s">
        <v>807</v>
      </c>
      <c r="AO120" s="314">
        <v>31967137</v>
      </c>
    </row>
    <row r="121" spans="2:42" ht="18" customHeight="1">
      <c r="D121" s="193"/>
      <c r="E121" s="154"/>
      <c r="H121" s="154"/>
      <c r="I121" s="154"/>
      <c r="K121" s="193"/>
      <c r="L121" s="193"/>
      <c r="M121" s="193"/>
      <c r="N121" s="154"/>
      <c r="O121" s="154"/>
      <c r="P121" s="154"/>
      <c r="Q121" s="154"/>
      <c r="R121" s="176" t="s">
        <v>241</v>
      </c>
      <c r="S121" s="406" t="s">
        <v>825</v>
      </c>
      <c r="T121" s="407"/>
      <c r="U121" s="227">
        <f>U120-U119</f>
        <v>-26347646444</v>
      </c>
      <c r="W121" s="154"/>
      <c r="X121" s="154"/>
      <c r="Y121" s="154"/>
      <c r="Z121" s="154"/>
      <c r="AD121" s="356"/>
      <c r="AE121" s="284"/>
      <c r="AF121" s="285" t="s">
        <v>909</v>
      </c>
      <c r="AG121" s="285">
        <v>1047166</v>
      </c>
      <c r="AH121" s="379"/>
      <c r="AI121" s="227">
        <f>SUM(AI95:AI120)</f>
        <v>61179330</v>
      </c>
      <c r="AJ121" s="154"/>
      <c r="AM121" s="162" t="s">
        <v>472</v>
      </c>
      <c r="AN121" s="313" t="s">
        <v>812</v>
      </c>
      <c r="AO121" s="314">
        <v>53072450</v>
      </c>
    </row>
    <row r="122" spans="2:42" ht="15.75" hidden="1" customHeight="1">
      <c r="C122" s="150"/>
      <c r="D122" s="154" t="s">
        <v>111</v>
      </c>
      <c r="E122" s="154"/>
      <c r="H122" s="154"/>
      <c r="I122" s="154"/>
      <c r="J122" s="154"/>
      <c r="K122" s="154"/>
      <c r="L122" s="154"/>
      <c r="M122" s="154"/>
      <c r="N122" s="154" t="s">
        <v>108</v>
      </c>
      <c r="O122" s="154"/>
      <c r="P122" s="154"/>
      <c r="Q122" s="154"/>
      <c r="R122" s="176"/>
      <c r="S122" s="331"/>
      <c r="T122" s="330"/>
      <c r="U122" s="228"/>
      <c r="W122" s="154"/>
      <c r="X122" s="154"/>
      <c r="Y122" s="154"/>
      <c r="Z122" s="154"/>
      <c r="AC122" s="150" t="s">
        <v>112</v>
      </c>
      <c r="AE122" s="284"/>
      <c r="AF122" s="285" t="s">
        <v>910</v>
      </c>
      <c r="AG122" s="285">
        <v>1198127</v>
      </c>
      <c r="AH122" s="380"/>
      <c r="AI122" s="227">
        <v>1136119601</v>
      </c>
      <c r="AJ122" s="154"/>
      <c r="AM122" s="162" t="s">
        <v>729</v>
      </c>
      <c r="AN122" s="313"/>
      <c r="AO122" s="314"/>
    </row>
    <row r="123" spans="2:42">
      <c r="C123" s="150"/>
      <c r="D123" s="154"/>
      <c r="E123" s="154"/>
      <c r="G123" s="154"/>
      <c r="H123" s="154"/>
      <c r="I123" s="154"/>
      <c r="J123" s="193"/>
      <c r="K123" s="193"/>
      <c r="L123" s="193"/>
      <c r="M123" s="193"/>
      <c r="N123" s="193"/>
      <c r="O123" s="193"/>
      <c r="P123" s="193"/>
      <c r="Q123" s="154"/>
      <c r="R123" s="154"/>
      <c r="S123" s="331"/>
      <c r="T123" s="330"/>
      <c r="U123" s="228"/>
      <c r="W123" s="154"/>
      <c r="X123" s="154"/>
      <c r="Y123" s="154"/>
      <c r="Z123" s="154"/>
      <c r="AE123" s="284"/>
      <c r="AF123" s="285" t="s">
        <v>911</v>
      </c>
      <c r="AG123" s="285">
        <v>10187750</v>
      </c>
      <c r="AH123" s="380"/>
      <c r="AI123" s="227">
        <f>AI122-AI121</f>
        <v>1074940271</v>
      </c>
      <c r="AJ123" s="154"/>
      <c r="AM123" s="162" t="s">
        <v>729</v>
      </c>
      <c r="AN123" s="313" t="s">
        <v>813</v>
      </c>
      <c r="AO123" s="314">
        <v>2081669</v>
      </c>
    </row>
    <row r="124" spans="2:42">
      <c r="C124" s="150"/>
      <c r="D124" s="154"/>
      <c r="E124" s="154"/>
      <c r="G124" s="154"/>
      <c r="H124" s="154"/>
      <c r="I124" s="154"/>
      <c r="J124" s="193"/>
      <c r="K124" s="193"/>
      <c r="L124" s="193"/>
      <c r="M124" s="193"/>
      <c r="N124" s="193"/>
      <c r="O124" s="193"/>
      <c r="P124" s="193"/>
      <c r="Q124" s="154"/>
      <c r="R124" s="154"/>
      <c r="S124" s="331"/>
      <c r="T124" s="330"/>
      <c r="U124" s="228"/>
      <c r="W124" s="154"/>
      <c r="X124" s="154"/>
      <c r="Y124" s="248"/>
      <c r="Z124" s="248"/>
      <c r="AA124" s="154"/>
      <c r="AB124" s="154"/>
      <c r="AE124" s="284"/>
      <c r="AF124" s="285" t="s">
        <v>912</v>
      </c>
      <c r="AG124" s="285">
        <v>4594000</v>
      </c>
      <c r="AH124" s="154"/>
      <c r="AI124" s="154"/>
      <c r="AJ124" s="154"/>
      <c r="AM124" s="162" t="s">
        <v>729</v>
      </c>
      <c r="AN124" s="313" t="s">
        <v>510</v>
      </c>
      <c r="AO124" s="314">
        <v>3550000</v>
      </c>
    </row>
    <row r="125" spans="2:42">
      <c r="C125" s="150"/>
      <c r="D125" s="154"/>
      <c r="E125" s="154" t="s">
        <v>111</v>
      </c>
      <c r="G125" s="154"/>
      <c r="H125" s="154"/>
      <c r="I125" s="154" t="s">
        <v>111</v>
      </c>
      <c r="J125" s="193">
        <v>3644000</v>
      </c>
      <c r="K125" s="193"/>
      <c r="L125" s="193">
        <v>550000000</v>
      </c>
      <c r="M125" s="193" t="s">
        <v>869</v>
      </c>
      <c r="N125" s="193"/>
      <c r="O125" s="193"/>
      <c r="P125" s="193"/>
      <c r="Q125" s="154"/>
      <c r="R125" s="154"/>
      <c r="S125" s="331"/>
      <c r="T125" s="330"/>
      <c r="U125" s="228"/>
      <c r="W125" s="154"/>
      <c r="X125" s="154"/>
      <c r="Y125" s="248"/>
      <c r="Z125" s="248"/>
      <c r="AA125" s="154"/>
      <c r="AB125" s="154"/>
      <c r="AE125" s="284"/>
      <c r="AF125" s="285" t="s">
        <v>913</v>
      </c>
      <c r="AG125" s="285">
        <v>3552000</v>
      </c>
      <c r="AH125" s="154"/>
      <c r="AI125" s="154"/>
      <c r="AJ125" s="154"/>
      <c r="AM125" s="169"/>
      <c r="AN125" s="176"/>
      <c r="AO125" s="176"/>
    </row>
    <row r="126" spans="2:42">
      <c r="B126" s="150" t="s">
        <v>871</v>
      </c>
      <c r="C126" s="150"/>
      <c r="D126" s="154"/>
      <c r="E126" s="154"/>
      <c r="F126" s="150" t="s">
        <v>111</v>
      </c>
      <c r="G126" s="154"/>
      <c r="H126" s="154" t="s">
        <v>112</v>
      </c>
      <c r="I126" s="154"/>
      <c r="J126" s="193">
        <v>9786724</v>
      </c>
      <c r="K126" s="193"/>
      <c r="L126" s="193">
        <v>300000000</v>
      </c>
      <c r="M126" s="193" t="s">
        <v>870</v>
      </c>
      <c r="N126" s="193" t="s">
        <v>876</v>
      </c>
      <c r="O126" s="193"/>
      <c r="P126" s="193"/>
      <c r="Q126" s="154"/>
      <c r="R126" s="154"/>
      <c r="S126" s="331"/>
      <c r="T126" s="330"/>
      <c r="U126" s="228"/>
      <c r="W126" s="154"/>
      <c r="X126" s="154"/>
      <c r="Y126" s="248"/>
      <c r="Z126" s="248"/>
      <c r="AA126" s="154"/>
      <c r="AB126" s="154"/>
      <c r="AE126" s="284"/>
      <c r="AF126" s="285" t="s">
        <v>583</v>
      </c>
      <c r="AG126" s="285">
        <v>800000</v>
      </c>
      <c r="AH126" s="154"/>
      <c r="AI126" s="154"/>
      <c r="AJ126" s="154"/>
      <c r="AM126" s="403" t="s">
        <v>241</v>
      </c>
      <c r="AN126" s="404"/>
      <c r="AO126" s="227">
        <f>SUM(AO95:AO125)</f>
        <v>201869610</v>
      </c>
    </row>
    <row r="127" spans="2:42">
      <c r="B127" s="150" t="s">
        <v>872</v>
      </c>
      <c r="C127" s="150"/>
      <c r="D127" s="154"/>
      <c r="E127" s="154" t="s">
        <v>112</v>
      </c>
      <c r="G127" s="154"/>
      <c r="H127" s="154"/>
      <c r="I127" s="154" t="s">
        <v>108</v>
      </c>
      <c r="J127" s="193">
        <v>70128085</v>
      </c>
      <c r="K127" s="193"/>
      <c r="L127" s="193">
        <v>500000000</v>
      </c>
      <c r="M127" s="193" t="s">
        <v>873</v>
      </c>
      <c r="N127" s="193"/>
      <c r="O127" s="193"/>
      <c r="P127" s="193"/>
      <c r="Q127" s="154"/>
      <c r="R127" s="154"/>
      <c r="S127" s="331"/>
      <c r="T127" s="330"/>
      <c r="U127" s="228"/>
      <c r="W127" s="154"/>
      <c r="X127" s="154"/>
      <c r="Y127" s="248"/>
      <c r="Z127" s="248"/>
      <c r="AA127" s="154"/>
      <c r="AB127" s="154">
        <v>1687597784</v>
      </c>
      <c r="AC127" s="154">
        <v>102150000</v>
      </c>
      <c r="AD127" s="154">
        <v>135945030</v>
      </c>
      <c r="AE127" s="284"/>
      <c r="AF127" s="285" t="s">
        <v>914</v>
      </c>
      <c r="AG127" s="285">
        <v>6427650</v>
      </c>
      <c r="AH127" s="154"/>
      <c r="AI127" s="154"/>
      <c r="AJ127" s="154"/>
      <c r="AM127" s="405" t="s">
        <v>50</v>
      </c>
      <c r="AN127" s="405"/>
      <c r="AO127" s="227">
        <v>862048887</v>
      </c>
    </row>
    <row r="128" spans="2:42">
      <c r="B128" s="150" t="s">
        <v>874</v>
      </c>
      <c r="C128" s="150"/>
      <c r="D128" s="154"/>
      <c r="E128" s="154"/>
      <c r="G128" s="154"/>
      <c r="H128" s="154"/>
      <c r="I128" s="154"/>
      <c r="J128" s="193">
        <v>196049318</v>
      </c>
      <c r="K128" s="193"/>
      <c r="L128" s="193">
        <v>1800000000</v>
      </c>
      <c r="M128" s="193"/>
      <c r="N128" s="193"/>
      <c r="O128" s="193"/>
      <c r="P128" s="193"/>
      <c r="Q128" s="154"/>
      <c r="R128" s="154"/>
      <c r="S128" s="331"/>
      <c r="T128" s="330"/>
      <c r="U128" s="228"/>
      <c r="W128" s="248"/>
      <c r="X128" s="248" t="e">
        <f ca="1">[3]!terbilang(#REF!)</f>
        <v>#NAME?</v>
      </c>
      <c r="Y128" s="154" t="s">
        <v>766</v>
      </c>
      <c r="Z128" s="154">
        <f>3750+37250</f>
        <v>41000</v>
      </c>
      <c r="AA128" s="154"/>
      <c r="AB128" s="154" t="e">
        <f ca="1">[3]!terbilang(AB127)</f>
        <v>#NAME?</v>
      </c>
      <c r="AC128" s="154" t="str">
        <f>[4]!TERBILANG(AC127)</f>
        <v xml:space="preserve">Seratus Dua Juta Seratus Limapuluh  Ribu </v>
      </c>
      <c r="AD128" s="154" t="str">
        <f>[4]!TERBILANG(AD127)</f>
        <v xml:space="preserve">Seratus Tigapuluh Lima Juta Sembilanratus Empatpuluh Lima Ribu Tigapuluh  </v>
      </c>
      <c r="AE128" s="284"/>
      <c r="AF128" s="285" t="s">
        <v>915</v>
      </c>
      <c r="AG128" s="285">
        <v>597197</v>
      </c>
      <c r="AH128" s="154"/>
      <c r="AI128" s="154"/>
      <c r="AJ128" s="154"/>
      <c r="AM128" s="405" t="s">
        <v>110</v>
      </c>
      <c r="AN128" s="405"/>
      <c r="AO128" s="227">
        <f>AO127-AO126</f>
        <v>660179277</v>
      </c>
    </row>
    <row r="129" spans="2:39">
      <c r="B129" s="150" t="s">
        <v>693</v>
      </c>
      <c r="C129" s="150"/>
      <c r="D129" s="154"/>
      <c r="E129" s="154"/>
      <c r="G129" s="154"/>
      <c r="H129" s="154"/>
      <c r="I129" s="154"/>
      <c r="J129" s="193"/>
      <c r="K129" s="193"/>
      <c r="L129" s="193">
        <v>800000000</v>
      </c>
      <c r="M129" s="193"/>
      <c r="N129" s="193"/>
      <c r="O129" s="193"/>
      <c r="P129" s="193"/>
      <c r="Q129" s="154"/>
      <c r="R129" s="154"/>
      <c r="S129" s="331"/>
      <c r="T129" s="330"/>
      <c r="U129" s="228"/>
      <c r="Y129" s="154" t="s">
        <v>764</v>
      </c>
      <c r="Z129" s="154">
        <v>-100000</v>
      </c>
      <c r="AA129" s="154"/>
      <c r="AB129" s="154"/>
      <c r="AC129" s="154"/>
      <c r="AD129" s="154"/>
      <c r="AE129" s="284"/>
      <c r="AF129" s="285" t="s">
        <v>916</v>
      </c>
      <c r="AG129" s="285">
        <v>15000000</v>
      </c>
      <c r="AH129" s="154"/>
      <c r="AI129" s="154"/>
      <c r="AJ129" s="154"/>
      <c r="AM129" s="150" t="s">
        <v>111</v>
      </c>
    </row>
    <row r="130" spans="2:39">
      <c r="B130" s="150" t="s">
        <v>875</v>
      </c>
      <c r="C130" s="150"/>
      <c r="D130" s="154"/>
      <c r="E130" s="154"/>
      <c r="G130" s="154"/>
      <c r="H130" s="154"/>
      <c r="I130" s="154"/>
      <c r="J130" s="193"/>
      <c r="K130" s="193"/>
      <c r="L130" s="193">
        <v>315000000</v>
      </c>
      <c r="M130" s="193"/>
      <c r="N130" s="193"/>
      <c r="O130" s="193"/>
      <c r="P130" s="193"/>
      <c r="Q130" s="154"/>
      <c r="R130" s="154"/>
      <c r="S130" s="331"/>
      <c r="T130" s="330"/>
      <c r="U130" s="228"/>
      <c r="V130" s="185"/>
      <c r="X130" s="154"/>
      <c r="Y130" s="154" t="s">
        <v>765</v>
      </c>
      <c r="Z130" s="154">
        <v>124000</v>
      </c>
      <c r="AA130" s="154"/>
      <c r="AB130" s="154"/>
      <c r="AC130" s="154"/>
      <c r="AD130" s="154"/>
      <c r="AE130" s="284"/>
      <c r="AF130" s="285" t="s">
        <v>630</v>
      </c>
      <c r="AG130" s="285">
        <v>1450000000</v>
      </c>
      <c r="AH130" s="154"/>
      <c r="AI130" s="154"/>
      <c r="AJ130" s="154"/>
    </row>
    <row r="131" spans="2:39">
      <c r="C131" s="150"/>
      <c r="D131" s="154"/>
      <c r="E131" s="154"/>
      <c r="G131" s="154"/>
      <c r="H131" s="154"/>
      <c r="I131" s="154"/>
      <c r="J131" s="193"/>
      <c r="K131" s="193"/>
      <c r="L131" s="193"/>
      <c r="M131" s="193"/>
      <c r="N131" s="193"/>
      <c r="O131" s="193"/>
      <c r="P131" s="193"/>
      <c r="Q131" s="154"/>
      <c r="R131" s="154"/>
      <c r="S131" s="331"/>
      <c r="T131" s="330"/>
      <c r="U131" s="228"/>
      <c r="V131" s="154">
        <v>7529997</v>
      </c>
      <c r="W131" s="154">
        <v>40897488</v>
      </c>
      <c r="Y131" s="154" t="s">
        <v>767</v>
      </c>
      <c r="Z131" s="154">
        <v>27000</v>
      </c>
      <c r="AA131" s="154"/>
      <c r="AB131" s="154"/>
      <c r="AC131" s="154"/>
      <c r="AD131" s="154"/>
      <c r="AE131" s="284"/>
      <c r="AF131" s="285"/>
      <c r="AG131" s="285"/>
      <c r="AH131" s="154"/>
      <c r="AI131" s="154"/>
      <c r="AJ131" s="154"/>
    </row>
    <row r="132" spans="2:39">
      <c r="D132" s="193"/>
      <c r="E132" s="150" t="s">
        <v>111</v>
      </c>
      <c r="F132" s="219"/>
      <c r="G132" s="154" t="e">
        <f ca="1">[3]!terbilang(G123)</f>
        <v>#NAME?</v>
      </c>
      <c r="H132" s="154">
        <v>1817200</v>
      </c>
      <c r="I132" s="154" t="str">
        <f>[4]!TERBILANG(I133)</f>
        <v xml:space="preserve">Enampuluh Lima Juta Duaratus Tujuhpuluh Tujuh Ribu Seratus Duapuluh Tujuh </v>
      </c>
      <c r="J132" s="154">
        <v>57188986</v>
      </c>
      <c r="K132" s="154"/>
      <c r="L132" s="154"/>
      <c r="M132" s="154"/>
      <c r="N132" s="154"/>
      <c r="O132" s="154"/>
      <c r="P132" s="154"/>
      <c r="Q132" s="154"/>
      <c r="R132" s="154"/>
      <c r="S132" s="331"/>
      <c r="T132" s="330"/>
      <c r="U132" s="228"/>
      <c r="V132" s="154" t="e">
        <f ca="1">[3]!terbilang(V131)</f>
        <v>#NAME?</v>
      </c>
      <c r="W132" s="154" t="str">
        <f>[4]!TERBILANG(W131)</f>
        <v xml:space="preserve">Empatpuluh  Juta Delapanratus Sembilanpuluh Tujuh Ribu Empatratus Delapanpuluh Delapan </v>
      </c>
      <c r="Y132" s="154"/>
      <c r="Z132" s="154">
        <f>SUM(Z128:Z131)</f>
        <v>92000</v>
      </c>
      <c r="AA132" s="154"/>
      <c r="AB132" s="154"/>
      <c r="AC132" s="154"/>
      <c r="AD132" s="154"/>
      <c r="AE132" s="358"/>
      <c r="AF132" s="359"/>
      <c r="AG132" s="285"/>
      <c r="AH132" s="154"/>
      <c r="AI132" s="154"/>
      <c r="AJ132" s="154"/>
    </row>
    <row r="133" spans="2:39">
      <c r="G133" s="154"/>
      <c r="H133" s="154" t="str">
        <f>[4]!TERBILANG(H132)</f>
        <v xml:space="preserve">Satu Juta Delapanratus Tujuhbelas Ribu Duaratus  </v>
      </c>
      <c r="I133" s="193">
        <v>65277127</v>
      </c>
      <c r="J133" s="193">
        <v>15000000</v>
      </c>
      <c r="K133" s="193" t="s">
        <v>112</v>
      </c>
      <c r="L133" s="401" t="s">
        <v>706</v>
      </c>
      <c r="M133" s="401"/>
      <c r="N133" s="401"/>
      <c r="O133" s="154"/>
      <c r="P133" s="401" t="s">
        <v>720</v>
      </c>
      <c r="Q133" s="401"/>
      <c r="R133" s="401"/>
      <c r="S133" s="331"/>
      <c r="T133" s="330"/>
      <c r="U133" s="228"/>
      <c r="V133" s="150">
        <v>3031731</v>
      </c>
      <c r="W133" s="150">
        <v>3025000</v>
      </c>
      <c r="X133" s="150">
        <v>39097062</v>
      </c>
      <c r="Y133" s="154"/>
      <c r="Z133" s="154"/>
      <c r="AA133" s="154"/>
      <c r="AB133" s="154"/>
      <c r="AC133" s="154"/>
      <c r="AD133" s="154"/>
      <c r="AE133" s="408" t="s">
        <v>241</v>
      </c>
      <c r="AF133" s="408"/>
      <c r="AG133" s="227">
        <f>SUM(AG98:AG132)</f>
        <v>3602279581</v>
      </c>
      <c r="AH133" s="154"/>
      <c r="AI133" s="154"/>
      <c r="AJ133" s="154"/>
    </row>
    <row r="134" spans="2:39">
      <c r="G134" s="154"/>
      <c r="H134" s="154"/>
      <c r="I134" s="154"/>
      <c r="J134" s="154">
        <f>SUM(J125:J133)</f>
        <v>351797113</v>
      </c>
      <c r="K134" s="154"/>
      <c r="L134" s="176" t="s">
        <v>230</v>
      </c>
      <c r="M134" s="176" t="s">
        <v>444</v>
      </c>
      <c r="N134" s="176" t="s">
        <v>445</v>
      </c>
      <c r="O134" s="154"/>
      <c r="P134" s="285" t="s">
        <v>230</v>
      </c>
      <c r="Q134" s="285" t="s">
        <v>444</v>
      </c>
      <c r="R134" s="285" t="s">
        <v>445</v>
      </c>
      <c r="S134" s="331"/>
      <c r="T134" s="330"/>
      <c r="U134" s="228"/>
      <c r="V134" s="154" t="e">
        <f ca="1">[3]!terbilang(V133)</f>
        <v>#NAME?</v>
      </c>
      <c r="W134" s="154" t="e">
        <f ca="1">[3]!terbilang(W133)</f>
        <v>#NAME?</v>
      </c>
      <c r="X134" s="154" t="e">
        <f ca="1">[3]!terbilang(X133)</f>
        <v>#NAME?</v>
      </c>
      <c r="Y134" s="154"/>
      <c r="Z134" s="154"/>
      <c r="AA134" s="154"/>
      <c r="AB134" s="154"/>
      <c r="AC134" s="154"/>
      <c r="AD134" s="154"/>
      <c r="AE134" s="406" t="s">
        <v>50</v>
      </c>
      <c r="AF134" s="407"/>
      <c r="AG134" s="227">
        <v>892503045</v>
      </c>
      <c r="AH134" s="154"/>
      <c r="AI134" s="154"/>
      <c r="AJ134" s="154"/>
    </row>
    <row r="135" spans="2:39">
      <c r="D135" s="193">
        <v>56628134</v>
      </c>
      <c r="E135" s="154">
        <v>11313793</v>
      </c>
      <c r="F135" s="154">
        <v>4903555261</v>
      </c>
      <c r="G135" s="154">
        <v>22883258</v>
      </c>
      <c r="H135" s="193" t="s">
        <v>111</v>
      </c>
      <c r="I135" s="154" t="s">
        <v>111</v>
      </c>
      <c r="J135" s="154" t="s">
        <v>111</v>
      </c>
      <c r="K135" s="154"/>
      <c r="L135" s="176" t="s">
        <v>463</v>
      </c>
      <c r="M135" s="176" t="s">
        <v>707</v>
      </c>
      <c r="N135" s="176">
        <v>870000</v>
      </c>
      <c r="P135" s="176" t="s">
        <v>620</v>
      </c>
      <c r="Q135" s="176" t="s">
        <v>621</v>
      </c>
      <c r="R135" s="176">
        <v>5786000</v>
      </c>
      <c r="S135" s="331"/>
      <c r="T135" s="330"/>
      <c r="U135" s="228"/>
      <c r="V135" s="154">
        <v>26564276</v>
      </c>
      <c r="W135" s="154">
        <v>14544781</v>
      </c>
      <c r="X135" s="154">
        <v>60445323</v>
      </c>
      <c r="Y135" s="154"/>
      <c r="Z135" s="154"/>
      <c r="AA135" s="154"/>
      <c r="AB135" s="154" t="str">
        <f>[4]!TERBILANG(AB136)</f>
        <v xml:space="preserve">Lima Juta Sembilanratus Tujuhpuluh Lima Ribu Limaratus Empatpuluh Sembilan </v>
      </c>
      <c r="AC135" s="154" t="e">
        <f ca="1">[3]!terbilang(#REF!)</f>
        <v>#NAME?</v>
      </c>
      <c r="AD135" s="154" t="e">
        <f ca="1">[3]!terbilang(#REF!)</f>
        <v>#NAME?</v>
      </c>
      <c r="AE135" s="406" t="s">
        <v>825</v>
      </c>
      <c r="AF135" s="407"/>
      <c r="AG135" s="227">
        <f>AG134-AG133</f>
        <v>-2709776536</v>
      </c>
      <c r="AH135" s="154"/>
      <c r="AI135" s="154"/>
      <c r="AJ135" s="154"/>
    </row>
    <row r="136" spans="2:39">
      <c r="D136" s="193"/>
      <c r="E136" s="154"/>
      <c r="F136" s="154"/>
      <c r="G136" s="154"/>
      <c r="H136" s="193"/>
      <c r="I136" s="154"/>
      <c r="J136" s="154"/>
      <c r="K136" s="154"/>
      <c r="L136" s="176" t="s">
        <v>466</v>
      </c>
      <c r="M136" s="176" t="s">
        <v>708</v>
      </c>
      <c r="N136" s="176">
        <v>582000</v>
      </c>
      <c r="P136" s="176" t="s">
        <v>625</v>
      </c>
      <c r="Q136" s="176" t="s">
        <v>626</v>
      </c>
      <c r="R136" s="176">
        <v>500000</v>
      </c>
      <c r="S136" s="331"/>
      <c r="T136" s="330"/>
      <c r="U136" s="228"/>
      <c r="V136" s="154" t="e">
        <f ca="1">[3]!terbilang(V135)</f>
        <v>#NAME?</v>
      </c>
      <c r="W136" s="154" t="e">
        <f ca="1">[3]!terbilang(W135)</f>
        <v>#NAME?</v>
      </c>
      <c r="X136" s="154" t="e">
        <f ca="1">[3]!terbilang(X135)</f>
        <v>#NAME?</v>
      </c>
      <c r="Y136" s="154"/>
      <c r="Z136" s="154"/>
      <c r="AA136" s="154"/>
      <c r="AB136" s="154">
        <v>5975549</v>
      </c>
      <c r="AC136" s="154" t="s">
        <v>111</v>
      </c>
      <c r="AD136" s="154"/>
      <c r="AE136" s="176"/>
      <c r="AF136" s="176"/>
      <c r="AG136" s="169"/>
      <c r="AH136" s="154"/>
      <c r="AI136" s="154"/>
      <c r="AJ136" s="154"/>
    </row>
    <row r="137" spans="2:39">
      <c r="D137" s="193" t="e">
        <f ca="1">[3]!terbilang(D135)</f>
        <v>#NAME?</v>
      </c>
      <c r="E137" s="193" t="str">
        <f>[4]!TERBILANG(E138)</f>
        <v xml:space="preserve">Duapuluh Lima Juta Sembilanratus Sembilanpuluh Sembilan Ribu Duaratus Sembilanbelas </v>
      </c>
      <c r="F137" s="193" t="e">
        <f ca="1">[3]!terbilang(F135)</f>
        <v>#NAME?</v>
      </c>
      <c r="G137" s="193" t="str">
        <f>[4]!TERBILANG(G138)</f>
        <v xml:space="preserve">Tiga Juta Sembilanratus Tujuhpuluh Lima Ribu </v>
      </c>
      <c r="H137" s="193" t="e">
        <f ca="1">[3]!terbilang(H135)</f>
        <v>#NAME?</v>
      </c>
      <c r="I137" s="154" t="s">
        <v>108</v>
      </c>
      <c r="J137" s="154"/>
      <c r="K137" s="154"/>
      <c r="L137" s="176" t="s">
        <v>467</v>
      </c>
      <c r="M137" s="176" t="s">
        <v>583</v>
      </c>
      <c r="N137" s="176">
        <v>1125000</v>
      </c>
      <c r="P137" s="176" t="s">
        <v>437</v>
      </c>
      <c r="Q137" s="176" t="s">
        <v>622</v>
      </c>
      <c r="R137" s="176">
        <v>3015600</v>
      </c>
      <c r="S137" s="331"/>
      <c r="T137" s="330"/>
      <c r="U137" s="228"/>
      <c r="V137" s="154">
        <v>46748378</v>
      </c>
      <c r="W137" s="154"/>
      <c r="X137" s="154"/>
      <c r="Y137" s="154"/>
      <c r="Z137" s="154"/>
      <c r="AA137" s="154"/>
      <c r="AB137" s="154" t="e">
        <f ca="1">[3]!terbilang(AB136)</f>
        <v>#NAME?</v>
      </c>
      <c r="AC137" s="154" t="e">
        <f ca="1">[3]!terbilang(AC136)</f>
        <v>#NAME?</v>
      </c>
      <c r="AD137" s="154" t="e">
        <f ca="1">[3]!terbilang(AD136)</f>
        <v>#NAME?</v>
      </c>
      <c r="AE137" s="176"/>
      <c r="AF137" s="176"/>
      <c r="AG137" s="169"/>
      <c r="AH137" s="154"/>
      <c r="AI137" s="154"/>
    </row>
    <row r="138" spans="2:39">
      <c r="D138" s="193">
        <v>2867700789</v>
      </c>
      <c r="E138" s="193">
        <v>25999219</v>
      </c>
      <c r="F138" s="193">
        <v>2813544</v>
      </c>
      <c r="G138" s="193">
        <v>3975000</v>
      </c>
      <c r="H138" s="193"/>
      <c r="I138" s="154"/>
      <c r="J138" s="154"/>
      <c r="K138" s="154"/>
      <c r="L138" s="176" t="s">
        <v>468</v>
      </c>
      <c r="M138" s="169" t="s">
        <v>708</v>
      </c>
      <c r="N138" s="176">
        <v>653000</v>
      </c>
      <c r="P138" s="176" t="s">
        <v>623</v>
      </c>
      <c r="Q138" s="169" t="s">
        <v>624</v>
      </c>
      <c r="R138" s="176">
        <v>8643800</v>
      </c>
      <c r="S138" s="176">
        <v>196049318</v>
      </c>
      <c r="T138" s="176" t="s">
        <v>747</v>
      </c>
      <c r="U138" s="154"/>
      <c r="V138" s="154" t="e">
        <f ca="1">[3]!terbilang(V137)</f>
        <v>#NAME?</v>
      </c>
      <c r="W138" s="154" t="e">
        <f ca="1">[3]!terbilang(W137)</f>
        <v>#NAME?</v>
      </c>
      <c r="X138" s="154" t="e">
        <f ca="1">[3]!terbilang(X137)</f>
        <v>#NAME?</v>
      </c>
      <c r="Y138" s="154"/>
      <c r="Z138" s="154"/>
      <c r="AA138" s="154"/>
      <c r="AB138" s="154">
        <v>22729543</v>
      </c>
      <c r="AC138" s="154">
        <v>16303742</v>
      </c>
      <c r="AD138" s="154"/>
      <c r="AE138" s="176"/>
      <c r="AF138" s="176"/>
      <c r="AG138" s="169"/>
      <c r="AH138" s="154"/>
      <c r="AI138" s="154"/>
    </row>
    <row r="139" spans="2:39">
      <c r="D139" s="193"/>
      <c r="E139" s="193"/>
      <c r="F139" s="193"/>
      <c r="G139" s="193"/>
      <c r="H139" s="193"/>
      <c r="I139" s="154" t="s">
        <v>111</v>
      </c>
      <c r="J139" s="154"/>
      <c r="K139" s="154"/>
      <c r="L139" s="176" t="s">
        <v>469</v>
      </c>
      <c r="M139" s="176" t="s">
        <v>708</v>
      </c>
      <c r="N139" s="176">
        <v>10000000</v>
      </c>
      <c r="P139" s="176"/>
      <c r="Q139" s="169"/>
      <c r="R139" s="176"/>
      <c r="S139" s="176"/>
      <c r="T139" s="176"/>
      <c r="U139" s="154"/>
      <c r="V139" s="154" t="e">
        <f ca="1">[3]!terbilang(V138)</f>
        <v>#NAME?</v>
      </c>
      <c r="W139" s="154" t="e">
        <f ca="1">[3]!terbilang(W138)</f>
        <v>#NAME?</v>
      </c>
      <c r="X139" s="154" t="e">
        <f ca="1">[3]!terbilang(X138)</f>
        <v>#NAME?</v>
      </c>
      <c r="Y139" s="248" t="e">
        <f ca="1">[3]!terbilang(Y128)</f>
        <v>#NAME?</v>
      </c>
      <c r="Z139" s="154" t="s">
        <v>111</v>
      </c>
      <c r="AA139" s="154"/>
      <c r="AB139" s="154" t="e">
        <f ca="1">[3]!terbilang(AB138)</f>
        <v>#NAME?</v>
      </c>
      <c r="AC139" s="154" t="e">
        <f ca="1">[3]!terbilang(AC138)</f>
        <v>#NAME?</v>
      </c>
      <c r="AD139" s="154" t="e">
        <f ca="1">[3]!terbilang(AD138)</f>
        <v>#NAME?</v>
      </c>
      <c r="AE139" s="176"/>
      <c r="AF139" s="176"/>
      <c r="AG139" s="169"/>
      <c r="AH139" s="154"/>
    </row>
    <row r="140" spans="2:39">
      <c r="D140" s="193"/>
      <c r="E140" s="193"/>
      <c r="F140" s="193"/>
      <c r="G140" s="193"/>
      <c r="H140" s="193"/>
      <c r="I140" s="154"/>
      <c r="J140" s="154"/>
      <c r="K140" s="154" t="s">
        <v>111</v>
      </c>
      <c r="L140" s="176" t="s">
        <v>709</v>
      </c>
      <c r="M140" s="176" t="s">
        <v>710</v>
      </c>
      <c r="N140" s="176">
        <v>5950000</v>
      </c>
      <c r="P140" s="176"/>
      <c r="Q140" s="169"/>
      <c r="R140" s="176"/>
      <c r="S140" s="176">
        <v>13100000</v>
      </c>
      <c r="T140" s="176" t="s">
        <v>748</v>
      </c>
      <c r="U140" s="154"/>
      <c r="Y140" s="154"/>
      <c r="Z140" s="154"/>
      <c r="AA140" s="154"/>
      <c r="AB140" s="154">
        <v>42449921</v>
      </c>
      <c r="AC140" s="154"/>
      <c r="AD140" s="154"/>
      <c r="AE140" s="176"/>
      <c r="AF140" s="176"/>
      <c r="AG140" s="169"/>
      <c r="AH140" s="154"/>
    </row>
    <row r="141" spans="2:39">
      <c r="D141" s="193"/>
      <c r="E141" s="193"/>
      <c r="F141" s="193"/>
      <c r="G141" s="193"/>
      <c r="H141" s="193"/>
      <c r="I141" s="154"/>
      <c r="J141" s="154"/>
      <c r="K141" s="154"/>
      <c r="L141" s="176"/>
      <c r="M141" s="169"/>
      <c r="N141" s="176"/>
      <c r="P141" s="176"/>
      <c r="Q141" s="169"/>
      <c r="R141" s="176"/>
      <c r="S141" s="176">
        <v>3000000</v>
      </c>
      <c r="T141" s="176" t="s">
        <v>749</v>
      </c>
      <c r="U141" s="154"/>
      <c r="Y141" s="248" t="e">
        <f ca="1">[3]!terbilang(Y140)</f>
        <v>#NAME?</v>
      </c>
      <c r="Z141" s="248"/>
      <c r="AA141" s="154"/>
      <c r="AB141" s="154" t="e">
        <f ca="1">[3]!terbilang(AB140)</f>
        <v>#NAME?</v>
      </c>
      <c r="AC141" s="154" t="e">
        <f ca="1">[3]!terbilang(AC140)</f>
        <v>#NAME?</v>
      </c>
      <c r="AD141" s="154"/>
      <c r="AE141" s="176"/>
      <c r="AF141" s="176"/>
      <c r="AG141" s="169"/>
      <c r="AH141" s="154"/>
    </row>
    <row r="142" spans="2:39">
      <c r="D142" s="193"/>
      <c r="E142" s="193"/>
      <c r="F142" s="193"/>
      <c r="G142" s="193"/>
      <c r="H142" s="193"/>
      <c r="I142" s="154"/>
      <c r="J142" s="154"/>
      <c r="K142" s="154"/>
      <c r="L142" s="176"/>
      <c r="M142" s="169"/>
      <c r="N142" s="176"/>
      <c r="P142" s="176"/>
      <c r="Q142" s="169"/>
      <c r="R142" s="176"/>
      <c r="S142" s="176"/>
      <c r="T142" s="176"/>
      <c r="U142" s="154"/>
      <c r="Z142" s="154"/>
      <c r="AA142" s="154"/>
      <c r="AB142" s="154"/>
      <c r="AC142" s="154"/>
      <c r="AD142" s="154"/>
      <c r="AE142" s="176"/>
      <c r="AF142" s="176"/>
      <c r="AG142" s="169"/>
    </row>
    <row r="143" spans="2:39">
      <c r="D143" s="193"/>
      <c r="E143" s="193"/>
      <c r="F143" s="193"/>
      <c r="G143" s="193"/>
      <c r="H143" s="193"/>
      <c r="I143" s="154"/>
      <c r="J143" s="154"/>
      <c r="K143" s="154"/>
      <c r="L143" s="176"/>
      <c r="M143" s="169"/>
      <c r="N143" s="176"/>
      <c r="P143" s="176"/>
      <c r="Q143" s="169"/>
      <c r="R143" s="176"/>
      <c r="S143" s="176">
        <f>SUM(S117:S141)</f>
        <v>212149318</v>
      </c>
      <c r="T143" s="176"/>
      <c r="U143" s="154"/>
      <c r="Z143" s="154"/>
      <c r="AA143" s="154"/>
      <c r="AB143" s="154"/>
      <c r="AC143" s="154"/>
      <c r="AD143" s="154"/>
      <c r="AE143" s="176"/>
      <c r="AF143" s="176"/>
      <c r="AG143" s="169"/>
    </row>
    <row r="144" spans="2:39">
      <c r="D144" s="193"/>
      <c r="E144" s="193"/>
      <c r="F144" s="193"/>
      <c r="G144" s="193"/>
      <c r="H144" s="193"/>
      <c r="I144" s="154"/>
      <c r="J144" s="154"/>
      <c r="K144" s="154"/>
      <c r="L144" s="176"/>
      <c r="M144" s="169"/>
      <c r="N144" s="176"/>
      <c r="P144" s="176"/>
      <c r="Q144" s="169"/>
      <c r="R144" s="176"/>
      <c r="S144" s="176"/>
      <c r="T144" s="176"/>
      <c r="U144" s="154"/>
      <c r="Z144" s="154"/>
      <c r="AA144" s="154">
        <v>763000</v>
      </c>
      <c r="AB144" s="154"/>
      <c r="AC144" s="154"/>
      <c r="AD144" s="154"/>
      <c r="AE144" s="176"/>
      <c r="AF144" s="176"/>
      <c r="AG144" s="169"/>
    </row>
    <row r="145" spans="3:33">
      <c r="C145" s="150"/>
      <c r="D145" s="193" t="s">
        <v>542</v>
      </c>
      <c r="E145" s="154"/>
      <c r="F145" s="154"/>
      <c r="G145" s="154"/>
      <c r="H145" s="154"/>
      <c r="J145" s="154"/>
      <c r="K145" s="154"/>
      <c r="L145" s="227" t="s">
        <v>563</v>
      </c>
      <c r="M145" s="192"/>
      <c r="N145" s="227">
        <f>SUM(N135:N141)</f>
        <v>19180000</v>
      </c>
      <c r="P145" s="227" t="s">
        <v>563</v>
      </c>
      <c r="Q145" s="192"/>
      <c r="R145" s="227">
        <f>SUM(R135:R141)</f>
        <v>17945400</v>
      </c>
      <c r="S145" s="154"/>
      <c r="T145" s="154"/>
      <c r="U145" s="154"/>
      <c r="Z145" s="154"/>
      <c r="AA145" s="154" t="str">
        <f>[4]!TERBILANG(AA144)</f>
        <v xml:space="preserve">Tujuhratus Enampuluh Tiga Ribu </v>
      </c>
      <c r="AB145" s="150" t="s">
        <v>111</v>
      </c>
      <c r="AD145" s="154" t="s">
        <v>111</v>
      </c>
      <c r="AE145" s="176"/>
      <c r="AF145" s="176"/>
      <c r="AG145" s="169"/>
    </row>
    <row r="146" spans="3:33">
      <c r="C146" s="150"/>
      <c r="D146" s="193"/>
      <c r="E146" s="193"/>
      <c r="F146" s="193"/>
      <c r="G146" s="193"/>
      <c r="H146" s="154"/>
      <c r="J146" s="193"/>
      <c r="K146" s="193"/>
      <c r="L146" s="154"/>
      <c r="N146" s="154"/>
      <c r="P146" s="154"/>
      <c r="Q146" s="154"/>
      <c r="R146" s="154"/>
      <c r="S146" s="154"/>
      <c r="T146" s="154"/>
      <c r="U146" s="154"/>
      <c r="Z146" s="154"/>
      <c r="AA146" s="154"/>
      <c r="AB146" s="154"/>
      <c r="AC146" s="154" t="s">
        <v>111</v>
      </c>
      <c r="AE146" s="176"/>
      <c r="AF146" s="176"/>
      <c r="AG146" s="169"/>
    </row>
    <row r="147" spans="3:33">
      <c r="C147" s="150"/>
      <c r="D147" s="193"/>
      <c r="E147" s="154" t="s">
        <v>104</v>
      </c>
      <c r="F147" s="154">
        <v>282181644</v>
      </c>
      <c r="G147" s="154"/>
      <c r="H147" s="154"/>
      <c r="J147" s="193"/>
      <c r="K147" s="193"/>
      <c r="L147" s="154"/>
      <c r="N147" s="154"/>
      <c r="P147" s="154"/>
      <c r="Q147" s="154"/>
      <c r="R147" s="154"/>
      <c r="S147" s="154"/>
      <c r="T147" s="154"/>
      <c r="U147" s="154"/>
      <c r="Z147" s="154"/>
      <c r="AA147" s="154"/>
      <c r="AC147" s="150" t="s">
        <v>112</v>
      </c>
      <c r="AD147" s="154"/>
      <c r="AE147" s="176"/>
      <c r="AF147" s="176"/>
      <c r="AG147" s="169"/>
    </row>
    <row r="148" spans="3:33">
      <c r="C148" s="150"/>
      <c r="D148" s="193"/>
      <c r="E148" s="193" t="s">
        <v>651</v>
      </c>
      <c r="F148" s="193">
        <v>31039981</v>
      </c>
      <c r="G148" s="193"/>
      <c r="H148" s="154"/>
      <c r="I148" s="154">
        <v>300966517</v>
      </c>
      <c r="J148" s="193"/>
      <c r="K148" s="193"/>
      <c r="N148" s="154"/>
      <c r="O148" s="150" t="s">
        <v>111</v>
      </c>
      <c r="R148" s="185"/>
      <c r="S148" s="154"/>
      <c r="T148" s="154"/>
      <c r="U148" s="154"/>
      <c r="Z148" s="154"/>
      <c r="AA148" s="154"/>
      <c r="AB148" s="154"/>
      <c r="AC148" s="154"/>
      <c r="AE148" s="176"/>
      <c r="AF148" s="176"/>
      <c r="AG148" s="169"/>
    </row>
    <row r="149" spans="3:33">
      <c r="C149" s="150"/>
      <c r="D149" s="193" t="s">
        <v>545</v>
      </c>
      <c r="E149" s="154" t="s">
        <v>652</v>
      </c>
      <c r="F149" s="154">
        <f>F147*15%</f>
        <v>42327246.600000001</v>
      </c>
      <c r="G149" s="154"/>
      <c r="H149" s="154">
        <v>8845339</v>
      </c>
      <c r="I149" s="154"/>
      <c r="J149" s="193"/>
      <c r="K149" s="193"/>
      <c r="N149" s="154"/>
      <c r="R149" s="185">
        <v>44545</v>
      </c>
      <c r="S149" s="154"/>
      <c r="T149" s="154"/>
      <c r="U149" s="154"/>
      <c r="Z149" s="154"/>
      <c r="AA149" s="154"/>
      <c r="AB149" s="154"/>
      <c r="AC149" s="154" t="s">
        <v>112</v>
      </c>
      <c r="AD149" s="154"/>
      <c r="AE149" s="176"/>
      <c r="AF149" s="176"/>
      <c r="AG149" s="169"/>
    </row>
    <row r="150" spans="3:33">
      <c r="C150" s="150"/>
      <c r="D150" s="193"/>
      <c r="E150" s="154" t="s">
        <v>653</v>
      </c>
      <c r="F150" s="154">
        <f>F147+F148-F149</f>
        <v>270894378.39999998</v>
      </c>
      <c r="G150" s="154"/>
      <c r="H150" s="154">
        <v>59202460</v>
      </c>
      <c r="I150" s="154"/>
      <c r="J150" s="193"/>
      <c r="K150" s="193"/>
      <c r="N150" s="154"/>
      <c r="R150" s="185">
        <v>44545</v>
      </c>
      <c r="S150" s="154"/>
      <c r="T150" s="154"/>
      <c r="U150" s="154"/>
      <c r="Z150" s="154"/>
      <c r="AA150" s="154"/>
      <c r="AB150" s="154"/>
      <c r="AC150" s="154"/>
      <c r="AD150" s="154" t="s">
        <v>111</v>
      </c>
      <c r="AE150" s="176"/>
      <c r="AF150" s="176"/>
      <c r="AG150" s="169"/>
    </row>
    <row r="151" spans="3:33">
      <c r="C151" s="150"/>
      <c r="D151" s="193"/>
      <c r="E151" s="154" t="s">
        <v>112</v>
      </c>
      <c r="F151" s="154"/>
      <c r="G151" s="154"/>
      <c r="H151" s="154">
        <v>14400000</v>
      </c>
      <c r="I151" s="154"/>
      <c r="J151" s="193"/>
      <c r="K151" s="193" t="s">
        <v>658</v>
      </c>
      <c r="Q151" s="150" t="s">
        <v>714</v>
      </c>
      <c r="R151" s="150" t="s">
        <v>715</v>
      </c>
      <c r="S151" s="154"/>
      <c r="T151" s="154"/>
      <c r="U151" s="154"/>
      <c r="X151" s="150" t="s">
        <v>111</v>
      </c>
      <c r="Z151" s="154"/>
      <c r="AA151" s="154"/>
      <c r="AB151" s="154"/>
      <c r="AC151" s="154"/>
      <c r="AD151" s="154"/>
      <c r="AE151" s="169" t="s">
        <v>773</v>
      </c>
      <c r="AF151" s="176">
        <v>25901224</v>
      </c>
      <c r="AG151" s="169" t="s">
        <v>440</v>
      </c>
    </row>
    <row r="152" spans="3:33">
      <c r="C152" s="150"/>
      <c r="D152" s="193"/>
      <c r="E152" s="154" t="s">
        <v>111</v>
      </c>
      <c r="F152" s="154"/>
      <c r="G152" s="154"/>
      <c r="H152" s="154"/>
      <c r="I152" s="154"/>
      <c r="J152" s="193"/>
      <c r="K152" s="193"/>
      <c r="P152" s="150" t="s">
        <v>111</v>
      </c>
      <c r="Q152" s="150" t="s">
        <v>716</v>
      </c>
      <c r="R152" s="150" t="s">
        <v>719</v>
      </c>
      <c r="S152" s="154"/>
      <c r="T152" s="154"/>
      <c r="U152" s="154"/>
      <c r="Z152" s="154"/>
      <c r="AA152" s="154" t="e">
        <f ca="1">[3]!terbilang(#REF!)</f>
        <v>#NAME?</v>
      </c>
      <c r="AB152" s="154"/>
      <c r="AC152" s="154"/>
      <c r="AD152" s="154"/>
      <c r="AE152" s="169" t="s">
        <v>773</v>
      </c>
      <c r="AF152" s="176">
        <v>28918417</v>
      </c>
      <c r="AG152" s="169" t="s">
        <v>623</v>
      </c>
    </row>
    <row r="153" spans="3:33">
      <c r="C153" s="150"/>
      <c r="D153" s="193"/>
      <c r="E153" s="154"/>
      <c r="F153" s="154"/>
      <c r="G153" s="154"/>
      <c r="H153" s="154"/>
      <c r="I153" s="154"/>
      <c r="J153" s="193"/>
      <c r="K153" s="193"/>
      <c r="O153" s="150" t="s">
        <v>112</v>
      </c>
      <c r="Q153" s="150" t="s">
        <v>718</v>
      </c>
      <c r="S153" s="401" t="s">
        <v>721</v>
      </c>
      <c r="T153" s="401"/>
      <c r="U153" s="401"/>
      <c r="X153" s="154"/>
      <c r="Z153" s="154" t="s">
        <v>112</v>
      </c>
      <c r="AA153" s="154">
        <v>21276666</v>
      </c>
      <c r="AB153" s="154"/>
      <c r="AC153" s="154"/>
      <c r="AD153" s="154"/>
      <c r="AE153" s="169" t="s">
        <v>779</v>
      </c>
      <c r="AF153" s="176">
        <v>60414703</v>
      </c>
      <c r="AG153" s="169"/>
    </row>
    <row r="154" spans="3:33">
      <c r="C154" s="150"/>
      <c r="D154" s="193"/>
      <c r="E154" s="154"/>
      <c r="F154" s="154"/>
      <c r="G154" s="154"/>
      <c r="H154" s="154"/>
      <c r="I154" s="154"/>
      <c r="J154" s="193"/>
      <c r="K154" s="193"/>
      <c r="S154" s="285" t="s">
        <v>230</v>
      </c>
      <c r="T154" s="285" t="s">
        <v>444</v>
      </c>
      <c r="U154" s="285" t="s">
        <v>445</v>
      </c>
      <c r="X154" s="154"/>
      <c r="Z154" s="154"/>
      <c r="AA154" s="154" t="e">
        <f ca="1">[3]!terbilang(AA153)</f>
        <v>#NAME?</v>
      </c>
      <c r="AB154" s="154"/>
      <c r="AC154" s="154"/>
      <c r="AD154" s="154">
        <v>1870843551</v>
      </c>
      <c r="AE154" s="169" t="s">
        <v>777</v>
      </c>
      <c r="AF154" s="176">
        <v>50512768</v>
      </c>
      <c r="AG154" s="378" t="s">
        <v>241</v>
      </c>
    </row>
    <row r="155" spans="3:33">
      <c r="C155" s="150"/>
      <c r="D155" s="193"/>
      <c r="E155" s="193"/>
      <c r="F155" s="193" t="s">
        <v>111</v>
      </c>
      <c r="G155" s="193"/>
      <c r="H155" s="154">
        <v>9735803</v>
      </c>
      <c r="I155" s="154">
        <v>1635000</v>
      </c>
      <c r="K155" s="193">
        <f>8000/3</f>
        <v>2666.6666666666665</v>
      </c>
      <c r="L155" s="219">
        <f>14000+K155+K156-K157</f>
        <v>12000</v>
      </c>
      <c r="R155" s="185"/>
      <c r="S155" s="176" t="s">
        <v>463</v>
      </c>
      <c r="T155" s="176" t="s">
        <v>722</v>
      </c>
      <c r="U155" s="176">
        <v>11289000</v>
      </c>
      <c r="X155" s="154"/>
      <c r="Z155" s="154" t="s">
        <v>111</v>
      </c>
      <c r="AA155" s="154">
        <v>10350000</v>
      </c>
      <c r="AB155" s="154"/>
      <c r="AC155" s="154"/>
      <c r="AD155" s="154" t="e">
        <f ca="1">[3]!terbilang(AD154)</f>
        <v>#NAME?</v>
      </c>
      <c r="AE155" s="176" t="s">
        <v>777</v>
      </c>
      <c r="AF155" s="176">
        <v>38301128</v>
      </c>
      <c r="AG155" s="380" t="s">
        <v>50</v>
      </c>
    </row>
    <row r="156" spans="3:33">
      <c r="C156" s="150"/>
      <c r="D156" s="171">
        <v>18074000</v>
      </c>
      <c r="E156" s="154">
        <v>38649240</v>
      </c>
      <c r="F156" s="154">
        <v>4630930</v>
      </c>
      <c r="G156" s="154">
        <v>3757161272</v>
      </c>
      <c r="H156" s="154">
        <v>102022038</v>
      </c>
      <c r="I156" s="154" t="str">
        <f>[4]!TERBILANG(I155)</f>
        <v xml:space="preserve">Satu Juta Enamratus Tigapuluh Lima Ribu </v>
      </c>
      <c r="K156" s="193">
        <f>4000/3</f>
        <v>1333.3333333333333</v>
      </c>
      <c r="L156" s="219">
        <f>10000+K155+K156-K157</f>
        <v>8000</v>
      </c>
      <c r="P156" s="154">
        <v>30146774</v>
      </c>
      <c r="Q156" s="154">
        <v>3887260894</v>
      </c>
      <c r="R156" s="154">
        <v>20079631</v>
      </c>
      <c r="S156" s="176" t="s">
        <v>724</v>
      </c>
      <c r="T156" s="169" t="s">
        <v>725</v>
      </c>
      <c r="U156" s="176">
        <v>11745160</v>
      </c>
      <c r="X156" s="154"/>
      <c r="AA156" s="154" t="e">
        <f ca="1">[3]!terbilang(AA155)</f>
        <v>#NAME?</v>
      </c>
      <c r="AB156" s="154"/>
      <c r="AC156" s="154"/>
      <c r="AD156" s="154"/>
      <c r="AE156" s="176" t="s">
        <v>781</v>
      </c>
      <c r="AF156" s="176">
        <v>1176997562</v>
      </c>
      <c r="AG156" s="380" t="s">
        <v>110</v>
      </c>
    </row>
    <row r="157" spans="3:33">
      <c r="C157" s="150"/>
      <c r="D157" s="193" t="str">
        <f>[4]!TERBILANG(D156)</f>
        <v xml:space="preserve">Delapanbelas Juta Tujuhpuluh Empat Ribu </v>
      </c>
      <c r="E157" s="193" t="e">
        <f ca="1">[3]!terbilang(E156)</f>
        <v>#NAME?</v>
      </c>
      <c r="F157" s="193" t="e">
        <f ca="1">[3]!terbilang(F156)</f>
        <v>#NAME?</v>
      </c>
      <c r="G157" s="193" t="e">
        <f ca="1">[3]!terbilang(G156)</f>
        <v>#NAME?</v>
      </c>
      <c r="H157" s="154">
        <v>43801144</v>
      </c>
      <c r="I157" s="154"/>
      <c r="K157" s="193">
        <f>18000/3</f>
        <v>6000</v>
      </c>
      <c r="L157" s="219">
        <f>17000+K155+K156-K157</f>
        <v>15000</v>
      </c>
      <c r="P157" s="154" t="str">
        <f>[4]!TERBILANG(P156)</f>
        <v xml:space="preserve">Tigapuluh  Juta Seratus Empatpuluh Enam Ribu Tujuhratus Tujuhpuluh Empat </v>
      </c>
      <c r="Q157" s="154" t="str">
        <f>[4]!TERBILANG(Q156)</f>
        <v xml:space="preserve">Tiga Miliar Delapanratus Delapanpuluh Tujuh Juta Duaratus Enampuluh  Ribu Delapanratus Sembilanpuluh Empat </v>
      </c>
      <c r="R157" s="154" t="e">
        <f ca="1">[3]!terbilang(R156)</f>
        <v>#NAME?</v>
      </c>
      <c r="S157" s="176" t="s">
        <v>464</v>
      </c>
      <c r="T157" s="176" t="s">
        <v>707</v>
      </c>
      <c r="U157" s="176">
        <v>1835000</v>
      </c>
      <c r="W157" s="154"/>
      <c r="X157" s="154"/>
      <c r="AA157" s="154">
        <v>5260710</v>
      </c>
      <c r="AB157" s="154"/>
      <c r="AC157" s="154"/>
      <c r="AD157" s="154" t="e">
        <f ca="1">[3]!terbilang(AD156)</f>
        <v>#NAME?</v>
      </c>
      <c r="AE157" s="176" t="s">
        <v>783</v>
      </c>
      <c r="AF157" s="176">
        <v>6927000</v>
      </c>
      <c r="AG157" s="154"/>
    </row>
    <row r="158" spans="3:33">
      <c r="C158" s="150"/>
      <c r="D158" s="193">
        <v>21708043</v>
      </c>
      <c r="E158" s="154"/>
      <c r="F158" s="154"/>
      <c r="G158" s="154"/>
      <c r="H158" s="154">
        <v>408494</v>
      </c>
      <c r="I158" s="154"/>
      <c r="K158" s="193"/>
      <c r="P158" s="154">
        <v>1889663</v>
      </c>
      <c r="Q158" s="154">
        <v>78873000</v>
      </c>
      <c r="R158" s="154">
        <v>14663364</v>
      </c>
      <c r="S158" s="176" t="s">
        <v>594</v>
      </c>
      <c r="T158" s="176" t="s">
        <v>723</v>
      </c>
      <c r="U158" s="176">
        <v>2913405</v>
      </c>
      <c r="X158" s="154"/>
      <c r="Y158" s="154" t="e">
        <f ca="1">[3]!terbilang(Y157)</f>
        <v>#NAME?</v>
      </c>
      <c r="AA158" s="154" t="e">
        <f ca="1">[3]!terbilang(AA157)</f>
        <v>#NAME?</v>
      </c>
      <c r="AD158" s="154"/>
      <c r="AE158" s="176" t="s">
        <v>462</v>
      </c>
      <c r="AF158" s="176">
        <v>18870588</v>
      </c>
      <c r="AG158" s="154"/>
    </row>
    <row r="159" spans="3:33">
      <c r="C159" s="150"/>
      <c r="D159" s="193">
        <v>2398726114</v>
      </c>
      <c r="E159" s="154">
        <v>2490573319</v>
      </c>
      <c r="F159" s="154">
        <v>989583824</v>
      </c>
      <c r="G159" s="154">
        <v>6074945</v>
      </c>
      <c r="H159" s="154"/>
      <c r="I159" s="154">
        <f>SUM(H149:H158)</f>
        <v>238415278</v>
      </c>
      <c r="K159" s="193"/>
      <c r="P159" s="154" t="e">
        <f ca="1">[3]!terbilang(P158)</f>
        <v>#NAME?</v>
      </c>
      <c r="Q159" s="154" t="e">
        <f ca="1">[3]!terbilang(Q158)</f>
        <v>#NAME?</v>
      </c>
      <c r="R159" s="154" t="e">
        <f ca="1">[3]!terbilang(R158)</f>
        <v>#NAME?</v>
      </c>
      <c r="S159" s="176" t="s">
        <v>468</v>
      </c>
      <c r="T159" s="169" t="s">
        <v>707</v>
      </c>
      <c r="U159" s="176">
        <v>900000</v>
      </c>
      <c r="X159" s="154"/>
      <c r="Y159" s="154">
        <v>99250443</v>
      </c>
      <c r="AA159" s="154"/>
      <c r="AE159" s="176"/>
      <c r="AF159" s="176"/>
      <c r="AG159" s="154"/>
    </row>
    <row r="160" spans="3:33">
      <c r="C160" s="150"/>
      <c r="D160" s="193" t="e">
        <f ca="1">[3]!terbilang(D159)</f>
        <v>#NAME?</v>
      </c>
      <c r="E160" s="193" t="e">
        <f ca="1">[3]!terbilang(E159)</f>
        <v>#NAME?</v>
      </c>
      <c r="F160" s="193" t="e">
        <f ca="1">[3]!terbilang(F159)</f>
        <v>#NAME?</v>
      </c>
      <c r="G160" s="193" t="e">
        <f ca="1">[3]!terbilang(G159)</f>
        <v>#NAME?</v>
      </c>
      <c r="H160" s="154"/>
      <c r="I160" s="154"/>
      <c r="J160" s="218">
        <f>I148-I159</f>
        <v>62551239</v>
      </c>
      <c r="P160" s="154">
        <v>5950000</v>
      </c>
      <c r="Q160" s="154">
        <v>77298480</v>
      </c>
      <c r="R160" s="154">
        <v>29688409</v>
      </c>
      <c r="S160" s="176" t="s">
        <v>469</v>
      </c>
      <c r="T160" s="169" t="s">
        <v>728</v>
      </c>
      <c r="U160" s="176">
        <v>19570000</v>
      </c>
      <c r="X160" s="154"/>
      <c r="Y160" s="154" t="e">
        <f ca="1">[3]!terbilang(Y159)</f>
        <v>#NAME?</v>
      </c>
      <c r="AA160" s="154"/>
      <c r="AB160" s="154"/>
      <c r="AC160" s="154"/>
      <c r="AE160" s="368"/>
      <c r="AF160" s="227">
        <f>SUM(AF95:AF159)</f>
        <v>1406843390</v>
      </c>
      <c r="AG160" s="154"/>
    </row>
    <row r="161" spans="2:33">
      <c r="C161" s="150"/>
      <c r="D161" s="154"/>
      <c r="E161" s="154"/>
      <c r="F161" s="154"/>
      <c r="G161" s="154"/>
      <c r="H161" s="154"/>
      <c r="I161" s="154"/>
      <c r="P161" s="154" t="e">
        <f ca="1">[3]!terbilang(P160)</f>
        <v>#NAME?</v>
      </c>
      <c r="Q161" s="154" t="e">
        <f ca="1">[3]!terbilang(Q160)</f>
        <v>#NAME?</v>
      </c>
      <c r="R161" s="154" t="e">
        <f ca="1">[3]!terbilang(R160)</f>
        <v>#NAME?</v>
      </c>
      <c r="S161" s="176" t="s">
        <v>472</v>
      </c>
      <c r="T161" s="169" t="s">
        <v>707</v>
      </c>
      <c r="U161" s="176">
        <v>1830000</v>
      </c>
      <c r="X161" s="154"/>
      <c r="Y161" s="154"/>
      <c r="AA161" s="154"/>
      <c r="AB161" s="154"/>
      <c r="AC161" s="154"/>
      <c r="AE161" s="369"/>
      <c r="AF161" s="227">
        <v>2707374829</v>
      </c>
      <c r="AG161" s="154"/>
    </row>
    <row r="162" spans="2:33">
      <c r="C162" s="150"/>
      <c r="D162" s="154"/>
      <c r="E162" s="154"/>
      <c r="F162" s="154"/>
      <c r="G162" s="154"/>
      <c r="H162" s="154"/>
      <c r="I162" s="154"/>
      <c r="J162" s="193"/>
      <c r="P162" s="154"/>
      <c r="Q162" s="154">
        <v>3689932926</v>
      </c>
      <c r="R162" s="154"/>
      <c r="S162" s="176" t="s">
        <v>727</v>
      </c>
      <c r="T162" s="169" t="s">
        <v>726</v>
      </c>
      <c r="U162" s="176">
        <v>2775000</v>
      </c>
      <c r="X162" s="154"/>
      <c r="Y162" s="154" t="e">
        <f ca="1">[3]!terbilang(Y161)</f>
        <v>#NAME?</v>
      </c>
      <c r="AA162" s="150" t="s">
        <v>111</v>
      </c>
      <c r="AB162" s="154"/>
      <c r="AC162" s="154"/>
      <c r="AE162" s="369"/>
      <c r="AF162" s="227">
        <f>AF161-AF160</f>
        <v>1300531439</v>
      </c>
      <c r="AG162" s="154"/>
    </row>
    <row r="163" spans="2:33">
      <c r="C163" s="150"/>
      <c r="D163" s="193"/>
      <c r="E163" s="193"/>
      <c r="F163" s="193"/>
      <c r="G163" s="193"/>
      <c r="H163" s="154"/>
      <c r="I163" s="154"/>
      <c r="J163" s="193">
        <v>242104606</v>
      </c>
      <c r="L163" s="150" t="s">
        <v>711</v>
      </c>
      <c r="M163" s="150" t="s">
        <v>712</v>
      </c>
      <c r="P163" s="154">
        <v>4424000</v>
      </c>
      <c r="Q163" s="154">
        <v>4424000</v>
      </c>
      <c r="R163" s="154" t="e">
        <f ca="1">[3]!terbilang(R162)</f>
        <v>#NAME?</v>
      </c>
      <c r="S163" s="176" t="s">
        <v>729</v>
      </c>
      <c r="T163" s="169" t="s">
        <v>730</v>
      </c>
      <c r="U163" s="176">
        <v>3000000</v>
      </c>
      <c r="X163" s="154"/>
      <c r="Y163" s="154" t="e">
        <f ca="1">[3]!terbilang(Y162)</f>
        <v>#NAME?</v>
      </c>
      <c r="AA163" s="154"/>
      <c r="AB163" s="154"/>
      <c r="AC163" s="154"/>
      <c r="AE163" s="356"/>
      <c r="AF163" s="345"/>
      <c r="AG163" s="154"/>
    </row>
    <row r="164" spans="2:33">
      <c r="C164" s="150"/>
      <c r="D164" s="154"/>
      <c r="E164" s="154"/>
      <c r="F164" s="154"/>
      <c r="G164" s="154"/>
      <c r="H164" s="154"/>
      <c r="J164" s="154">
        <v>49062122</v>
      </c>
      <c r="K164" s="150"/>
      <c r="P164" s="154">
        <v>4424000</v>
      </c>
      <c r="Q164" s="154">
        <v>11751036</v>
      </c>
      <c r="R164" s="154">
        <v>3015600</v>
      </c>
      <c r="S164" s="176"/>
      <c r="T164" s="169"/>
      <c r="U164" s="176"/>
      <c r="X164" s="154"/>
      <c r="AB164" s="154"/>
      <c r="AC164" s="154"/>
      <c r="AE164" s="356"/>
      <c r="AF164" s="345"/>
      <c r="AG164" s="154"/>
    </row>
    <row r="165" spans="2:33">
      <c r="C165" s="150"/>
      <c r="D165" s="193"/>
      <c r="E165" s="193"/>
      <c r="F165" s="193" t="s">
        <v>815</v>
      </c>
      <c r="G165" s="193">
        <v>4</v>
      </c>
      <c r="J165" s="154">
        <v>47292120</v>
      </c>
      <c r="K165" s="150"/>
      <c r="P165" s="154" t="e">
        <f ca="1">[3]!terbilang(P164)</f>
        <v>#NAME?</v>
      </c>
      <c r="Q165" s="154" t="e">
        <f ca="1">[3]!terbilang(Q164)</f>
        <v>#NAME?</v>
      </c>
      <c r="R165" s="154" t="e">
        <f ca="1">[3]!terbilang(R164)</f>
        <v>#NAME?</v>
      </c>
      <c r="S165" s="227" t="s">
        <v>563</v>
      </c>
      <c r="T165" s="192"/>
      <c r="U165" s="227">
        <f>SUM(U155:U163)</f>
        <v>55857565</v>
      </c>
      <c r="X165" s="154"/>
      <c r="Y165" s="154">
        <v>143554320</v>
      </c>
      <c r="Z165" s="154"/>
      <c r="AA165" s="154"/>
      <c r="AB165" s="154"/>
      <c r="AC165" s="154"/>
      <c r="AE165" s="154"/>
      <c r="AF165" s="154"/>
      <c r="AG165" s="154"/>
    </row>
    <row r="166" spans="2:33">
      <c r="C166" s="150"/>
      <c r="D166" s="154"/>
      <c r="E166" s="154"/>
      <c r="F166" s="154" t="s">
        <v>814</v>
      </c>
      <c r="G166" s="154">
        <f>12+1+9</f>
        <v>22</v>
      </c>
      <c r="H166" s="154"/>
      <c r="J166" s="154">
        <v>101877980</v>
      </c>
      <c r="K166" s="150"/>
      <c r="N166" s="150" t="s">
        <v>111</v>
      </c>
      <c r="P166" s="154">
        <v>1030905</v>
      </c>
      <c r="Q166" s="154">
        <v>756000</v>
      </c>
      <c r="R166" s="154">
        <v>42212300</v>
      </c>
      <c r="T166" s="154"/>
      <c r="X166" s="154"/>
      <c r="Y166" s="154" t="str">
        <f>[4]!TERBILANG(Y165)</f>
        <v xml:space="preserve">Seratus Empatpuluh Tiga Juta Limaratus Limapuluh Empat Ribu Tigaratus Duapuluh  </v>
      </c>
      <c r="Z166" s="154"/>
      <c r="AB166" s="154"/>
      <c r="AC166" s="154"/>
      <c r="AE166" s="154"/>
      <c r="AF166" s="154"/>
      <c r="AG166" s="154"/>
    </row>
    <row r="167" spans="2:33">
      <c r="C167" s="150"/>
      <c r="D167" s="193"/>
      <c r="E167" s="193" t="s">
        <v>111</v>
      </c>
      <c r="F167" s="193" t="s">
        <v>816</v>
      </c>
      <c r="G167" s="193">
        <f>4+8+3</f>
        <v>15</v>
      </c>
      <c r="H167" s="193"/>
      <c r="J167" s="154">
        <v>41198822</v>
      </c>
      <c r="K167" s="150"/>
      <c r="N167" s="150" t="s">
        <v>111</v>
      </c>
      <c r="P167" s="154" t="e">
        <f ca="1">[3]!terbilang(P166)</f>
        <v>#NAME?</v>
      </c>
      <c r="Q167" s="154" t="e">
        <f ca="1">[3]!terbilang(Q166)</f>
        <v>#NAME?</v>
      </c>
      <c r="R167" s="154" t="e">
        <f ca="1">[3]!terbilang(R166)</f>
        <v>#NAME?</v>
      </c>
      <c r="T167" s="154"/>
      <c r="X167" s="154"/>
      <c r="Y167" s="154"/>
      <c r="Z167" s="154"/>
      <c r="AA167" s="154"/>
      <c r="AB167" s="154"/>
      <c r="AC167" s="154"/>
      <c r="AE167" s="154"/>
      <c r="AF167" s="154"/>
      <c r="AG167" s="154"/>
    </row>
    <row r="168" spans="2:33">
      <c r="D168" s="193"/>
      <c r="E168" s="154"/>
      <c r="F168" s="154"/>
      <c r="G168" s="154"/>
      <c r="J168" s="154">
        <v>12969890</v>
      </c>
      <c r="K168" s="150"/>
      <c r="P168" s="154"/>
      <c r="R168" s="154"/>
      <c r="T168" s="154">
        <v>5504665</v>
      </c>
      <c r="U168" s="154">
        <v>1006500</v>
      </c>
      <c r="Y168" s="154"/>
      <c r="Z168" s="154"/>
      <c r="AA168" s="154"/>
      <c r="AB168" s="154"/>
      <c r="AC168" s="154"/>
      <c r="AE168" s="154"/>
      <c r="AF168" s="154"/>
      <c r="AG168" s="154"/>
    </row>
    <row r="169" spans="2:33">
      <c r="D169" s="193"/>
      <c r="E169" s="154"/>
      <c r="F169" s="154"/>
      <c r="G169" s="154"/>
      <c r="J169" s="154">
        <v>30314078</v>
      </c>
      <c r="K169" s="150"/>
      <c r="P169" s="154"/>
      <c r="R169" s="154"/>
      <c r="S169" s="150" t="s">
        <v>112</v>
      </c>
      <c r="T169" s="154">
        <v>846000</v>
      </c>
      <c r="U169" s="154" t="str">
        <f>[4]!TERBILANG(U168)</f>
        <v xml:space="preserve">Satu Juta Enam Ribu Limaratus  </v>
      </c>
      <c r="Y169" s="154"/>
      <c r="Z169" s="154"/>
      <c r="AA169" s="154"/>
      <c r="AB169" s="154"/>
      <c r="AC169" s="154"/>
      <c r="AE169" s="154"/>
      <c r="AF169" s="154"/>
      <c r="AG169" s="154"/>
    </row>
    <row r="170" spans="2:33">
      <c r="B170" s="150" t="s">
        <v>666</v>
      </c>
      <c r="C170" s="150"/>
      <c r="D170" s="154"/>
      <c r="E170" s="154"/>
      <c r="F170" s="154"/>
      <c r="G170" s="154"/>
      <c r="J170" s="154"/>
      <c r="K170" s="150"/>
      <c r="P170" s="154"/>
      <c r="Q170" s="154">
        <v>2722753720</v>
      </c>
      <c r="R170" s="154"/>
      <c r="T170" s="154">
        <v>2775000</v>
      </c>
      <c r="U170" s="154">
        <v>77264972</v>
      </c>
      <c r="Y170" s="154"/>
      <c r="Z170" s="154"/>
      <c r="AA170" s="154"/>
      <c r="AB170" s="154"/>
      <c r="AC170" s="154"/>
      <c r="AE170" s="154"/>
      <c r="AF170" s="154"/>
      <c r="AG170" s="154"/>
    </row>
    <row r="171" spans="2:33">
      <c r="C171" s="150"/>
      <c r="D171" s="154"/>
      <c r="E171" s="154"/>
      <c r="F171" s="154"/>
      <c r="G171" s="154"/>
      <c r="J171" s="154">
        <f>SUM(J163:J170)</f>
        <v>524819618</v>
      </c>
      <c r="K171" s="150"/>
      <c r="P171" s="154"/>
      <c r="Q171" s="154"/>
      <c r="R171" s="154"/>
      <c r="T171" s="154" t="e">
        <f ca="1">[3]!terbilang(T170)</f>
        <v>#NAME?</v>
      </c>
      <c r="U171" s="154" t="e">
        <f ca="1">[3]!terbilang(U170)</f>
        <v>#NAME?</v>
      </c>
      <c r="Y171" s="154"/>
      <c r="Z171" s="154"/>
      <c r="AA171" s="154"/>
      <c r="AB171" s="154"/>
      <c r="AC171" s="154"/>
      <c r="AE171" s="154">
        <v>3550000</v>
      </c>
      <c r="AF171" s="154"/>
      <c r="AG171" s="154"/>
    </row>
    <row r="172" spans="2:33">
      <c r="B172" s="150" t="s">
        <v>667</v>
      </c>
      <c r="C172" s="150"/>
      <c r="D172" s="150"/>
      <c r="J172" s="154"/>
      <c r="K172" s="150"/>
      <c r="P172" s="154"/>
      <c r="Q172" s="154"/>
      <c r="R172" s="154">
        <v>877014107</v>
      </c>
      <c r="S172" s="150" t="s">
        <v>717</v>
      </c>
      <c r="T172" s="154"/>
      <c r="U172" s="154">
        <v>900000</v>
      </c>
      <c r="Y172" s="154"/>
      <c r="Z172" s="154"/>
      <c r="AA172" s="154"/>
      <c r="AB172" s="154"/>
      <c r="AC172" s="154"/>
      <c r="AE172" s="154" t="str">
        <f>[4]!TERBILANG(AE171)</f>
        <v xml:space="preserve">Tiga Juta Limaratus Limapuluh  Ribu </v>
      </c>
      <c r="AF172" s="154"/>
      <c r="AG172" s="154"/>
    </row>
    <row r="173" spans="2:33">
      <c r="C173" s="150"/>
      <c r="D173" s="154"/>
      <c r="E173" s="154"/>
      <c r="F173" s="154"/>
      <c r="G173" s="154"/>
      <c r="J173" s="193"/>
      <c r="P173" s="154"/>
      <c r="Q173" s="154"/>
      <c r="R173" s="154">
        <v>3605000</v>
      </c>
      <c r="T173" s="154"/>
      <c r="U173" s="154" t="e">
        <f ca="1">[3]!terbilang(U172)</f>
        <v>#NAME?</v>
      </c>
      <c r="Y173" s="154"/>
      <c r="Z173" s="154"/>
      <c r="AA173" s="154"/>
      <c r="AB173" s="154"/>
      <c r="AC173" s="154"/>
      <c r="AE173" s="154"/>
      <c r="AF173" s="154" t="s">
        <v>111</v>
      </c>
      <c r="AG173" s="154"/>
    </row>
    <row r="174" spans="2:33">
      <c r="C174" s="150"/>
      <c r="D174" s="193"/>
      <c r="E174" s="193"/>
      <c r="F174" s="193"/>
      <c r="G174" s="193"/>
      <c r="P174" s="154"/>
      <c r="Q174" s="154"/>
      <c r="R174" s="154">
        <v>2550000</v>
      </c>
      <c r="T174" s="154"/>
      <c r="U174" s="154">
        <v>32027156</v>
      </c>
      <c r="Y174" s="154"/>
      <c r="Z174" s="154"/>
      <c r="AA174" s="154"/>
      <c r="AB174" s="154"/>
      <c r="AC174" s="154"/>
      <c r="AE174" s="154"/>
      <c r="AF174" s="154"/>
      <c r="AG174" s="154"/>
    </row>
    <row r="175" spans="2:33">
      <c r="C175" s="150"/>
      <c r="D175" s="150"/>
      <c r="J175" s="150"/>
      <c r="K175" s="150"/>
      <c r="P175" s="154"/>
      <c r="Q175" s="154"/>
      <c r="R175" s="154">
        <v>10000000</v>
      </c>
      <c r="U175" s="154" t="e">
        <f ca="1">[3]!terbilang(U174)</f>
        <v>#NAME?</v>
      </c>
      <c r="AE175" s="154"/>
      <c r="AF175" s="154"/>
    </row>
    <row r="176" spans="2:33">
      <c r="C176" s="150"/>
      <c r="D176" s="150"/>
      <c r="J176" s="150"/>
      <c r="K176" s="150"/>
      <c r="P176" s="154"/>
      <c r="Q176" s="154"/>
      <c r="R176" s="154">
        <v>1320000</v>
      </c>
      <c r="S176" s="154">
        <v>1684952150</v>
      </c>
      <c r="T176" s="154" t="e">
        <f ca="1">[3]!terbilang(T175)</f>
        <v>#NAME?</v>
      </c>
      <c r="U176" s="154" t="e">
        <f ca="1">[3]!terbilang(U175)</f>
        <v>#NAME?</v>
      </c>
      <c r="AE176" s="154"/>
      <c r="AF176" s="154"/>
    </row>
    <row r="177" spans="3:33">
      <c r="C177" s="150"/>
      <c r="D177" s="150"/>
      <c r="E177" s="245">
        <f>C177+D177</f>
        <v>0</v>
      </c>
      <c r="F177" s="241">
        <v>151858375</v>
      </c>
      <c r="I177" s="150" t="s">
        <v>111</v>
      </c>
      <c r="J177" s="150"/>
      <c r="K177" s="150"/>
      <c r="P177" s="154"/>
      <c r="Q177" s="154"/>
      <c r="R177" s="154">
        <v>1013543</v>
      </c>
      <c r="S177" s="154" t="s">
        <v>89</v>
      </c>
      <c r="T177" s="154"/>
      <c r="AA177" s="154"/>
      <c r="AE177" s="154"/>
      <c r="AF177" s="154" t="s">
        <v>111</v>
      </c>
    </row>
    <row r="178" spans="3:33">
      <c r="C178" s="150"/>
      <c r="D178" s="150"/>
      <c r="E178" s="245">
        <f t="shared" ref="E178:E199" si="4">C178+D178</f>
        <v>0</v>
      </c>
      <c r="F178" s="241">
        <v>151858375</v>
      </c>
      <c r="J178" s="150"/>
      <c r="K178" s="150"/>
      <c r="P178" s="154"/>
      <c r="Q178" s="154"/>
      <c r="R178" s="154">
        <v>1042324</v>
      </c>
      <c r="S178" s="154">
        <v>11409138</v>
      </c>
      <c r="T178" s="154"/>
      <c r="AA178" s="154"/>
      <c r="AF178" s="154"/>
    </row>
    <row r="179" spans="3:33">
      <c r="C179" s="150"/>
      <c r="D179" s="150"/>
      <c r="E179" s="245">
        <f t="shared" si="4"/>
        <v>0</v>
      </c>
      <c r="F179" s="241">
        <v>15635402</v>
      </c>
      <c r="J179" s="150"/>
      <c r="K179" s="150"/>
      <c r="Q179" s="154"/>
      <c r="R179" s="154">
        <v>356740</v>
      </c>
      <c r="S179" s="154" t="e">
        <f ca="1">[3]!terbilang(S178)</f>
        <v>#NAME?</v>
      </c>
      <c r="T179" s="154"/>
      <c r="AA179" s="154"/>
      <c r="AE179" s="154"/>
      <c r="AF179" s="154"/>
    </row>
    <row r="180" spans="3:33">
      <c r="C180" s="150"/>
      <c r="D180" s="150"/>
      <c r="E180" s="245"/>
      <c r="F180" s="241"/>
      <c r="J180" s="150"/>
      <c r="K180" s="175" t="s">
        <v>675</v>
      </c>
      <c r="L180" s="175">
        <v>78301201</v>
      </c>
      <c r="M180" s="175" t="s">
        <v>677</v>
      </c>
      <c r="N180" s="175">
        <v>10775039</v>
      </c>
      <c r="Q180" s="154"/>
      <c r="R180" s="154">
        <f>1444898479+10476291</f>
        <v>1455374770</v>
      </c>
      <c r="S180" s="154">
        <v>1678000</v>
      </c>
      <c r="T180" s="154"/>
      <c r="AA180" s="154"/>
      <c r="AE180" s="154" t="e">
        <f ca="1">[3]!terbilang(AE179)</f>
        <v>#NAME?</v>
      </c>
    </row>
    <row r="181" spans="3:33">
      <c r="C181" s="150"/>
      <c r="D181" s="150"/>
      <c r="E181" s="245">
        <f t="shared" si="4"/>
        <v>0</v>
      </c>
      <c r="F181" s="241">
        <v>417819202</v>
      </c>
      <c r="J181" s="150"/>
      <c r="K181" s="175" t="s">
        <v>676</v>
      </c>
      <c r="L181" s="175">
        <v>16408200</v>
      </c>
      <c r="M181" s="175">
        <v>231</v>
      </c>
      <c r="N181" s="175">
        <v>5696639</v>
      </c>
      <c r="Q181" s="154"/>
      <c r="R181" s="154">
        <v>142000000</v>
      </c>
      <c r="S181" s="154" t="e">
        <f ca="1">[3]!terbilang(S180)</f>
        <v>#NAME?</v>
      </c>
      <c r="T181" s="154"/>
      <c r="U181" s="150" t="s">
        <v>111</v>
      </c>
      <c r="AA181" s="154"/>
      <c r="AE181" s="154"/>
      <c r="AF181" s="154"/>
    </row>
    <row r="182" spans="3:33">
      <c r="C182" s="150"/>
      <c r="D182" s="150"/>
      <c r="E182" s="245"/>
      <c r="F182" s="241"/>
      <c r="J182" s="150"/>
      <c r="K182" s="175"/>
      <c r="L182" s="175"/>
      <c r="M182" s="175">
        <v>232</v>
      </c>
      <c r="N182" s="175">
        <v>13247999</v>
      </c>
      <c r="Q182" s="154"/>
      <c r="R182" s="154">
        <v>130000000</v>
      </c>
      <c r="S182" s="154"/>
      <c r="T182" s="154"/>
      <c r="AA182" s="154"/>
      <c r="AG182" s="154">
        <v>14458500</v>
      </c>
    </row>
    <row r="183" spans="3:33">
      <c r="C183" s="150"/>
      <c r="D183" s="150"/>
      <c r="E183" s="245"/>
      <c r="F183" s="241"/>
      <c r="J183" s="150"/>
      <c r="K183" s="150"/>
      <c r="Q183" s="154"/>
      <c r="R183" s="154"/>
      <c r="S183" s="154" t="e">
        <f ca="1">[3]!terbilang(S182)</f>
        <v>#NAME?</v>
      </c>
      <c r="T183" s="154" t="s">
        <v>678</v>
      </c>
      <c r="AA183" s="154"/>
      <c r="AG183" s="154">
        <v>7914768</v>
      </c>
    </row>
    <row r="184" spans="3:33">
      <c r="C184" s="150"/>
      <c r="D184" s="150"/>
      <c r="E184" s="245"/>
      <c r="F184" s="241"/>
      <c r="J184" s="150"/>
      <c r="K184" s="150"/>
      <c r="Q184" s="154"/>
      <c r="R184" s="154"/>
      <c r="S184" s="154">
        <v>600739</v>
      </c>
      <c r="T184" s="154"/>
      <c r="AA184" s="154"/>
      <c r="AG184" s="154">
        <v>400000</v>
      </c>
    </row>
    <row r="185" spans="3:33">
      <c r="E185" s="245">
        <f t="shared" si="4"/>
        <v>0</v>
      </c>
      <c r="F185" s="241">
        <v>8266215</v>
      </c>
      <c r="J185" s="150"/>
      <c r="K185" s="150"/>
      <c r="Q185" s="154"/>
      <c r="R185" s="154">
        <f>SUM(R172:R182)</f>
        <v>2624276484</v>
      </c>
      <c r="S185" s="154" t="e">
        <f ca="1">[3]!terbilang(S184)</f>
        <v>#NAME?</v>
      </c>
      <c r="T185" s="154"/>
      <c r="AA185" s="154"/>
      <c r="AG185" s="154">
        <v>1852000</v>
      </c>
    </row>
    <row r="186" spans="3:33">
      <c r="E186" s="245">
        <f t="shared" si="4"/>
        <v>0</v>
      </c>
      <c r="F186" s="241">
        <v>8266215</v>
      </c>
      <c r="J186" s="150"/>
      <c r="K186" s="150"/>
      <c r="Q186" s="154"/>
      <c r="R186" s="154"/>
      <c r="S186" s="154">
        <v>9467700</v>
      </c>
      <c r="T186" s="154"/>
      <c r="AA186" s="154"/>
      <c r="AG186" s="154">
        <v>1486080</v>
      </c>
    </row>
    <row r="187" spans="3:33">
      <c r="E187" s="245">
        <f t="shared" si="4"/>
        <v>0</v>
      </c>
      <c r="F187" s="242">
        <v>42795328</v>
      </c>
      <c r="J187" s="150"/>
      <c r="K187" s="150"/>
      <c r="Q187" s="154">
        <f>Q170-R185</f>
        <v>98477236</v>
      </c>
      <c r="R187" s="154"/>
      <c r="S187" s="154" t="e">
        <f ca="1">[3]!terbilang(S186)</f>
        <v>#NAME?</v>
      </c>
      <c r="AA187" s="154"/>
      <c r="AE187" s="150" t="s">
        <v>699</v>
      </c>
      <c r="AG187" s="154"/>
    </row>
    <row r="188" spans="3:33">
      <c r="C188" s="150"/>
      <c r="D188" s="150"/>
      <c r="E188" s="245">
        <f t="shared" si="4"/>
        <v>0</v>
      </c>
      <c r="F188" s="241">
        <v>26265232</v>
      </c>
      <c r="J188" s="150"/>
      <c r="K188" s="150"/>
      <c r="Q188" s="154"/>
      <c r="R188" s="154"/>
      <c r="AA188" s="154"/>
      <c r="AE188" s="150" t="s">
        <v>694</v>
      </c>
      <c r="AG188" s="154"/>
    </row>
    <row r="189" spans="3:33">
      <c r="C189" s="150"/>
      <c r="D189" s="150"/>
      <c r="E189" s="245">
        <f t="shared" si="4"/>
        <v>0</v>
      </c>
      <c r="F189" s="242">
        <v>26265232</v>
      </c>
      <c r="I189" s="150" t="s">
        <v>112</v>
      </c>
      <c r="Q189" s="154"/>
      <c r="R189" s="154"/>
      <c r="AA189" s="154"/>
      <c r="AE189" s="150" t="s">
        <v>695</v>
      </c>
    </row>
    <row r="190" spans="3:33">
      <c r="C190" s="150"/>
      <c r="D190" s="150"/>
      <c r="E190" s="245">
        <f t="shared" si="4"/>
        <v>0</v>
      </c>
      <c r="F190" s="242">
        <v>199624868</v>
      </c>
      <c r="Q190" s="154"/>
      <c r="R190" s="154"/>
      <c r="S190" s="154"/>
      <c r="AA190" s="154"/>
      <c r="AE190" s="150" t="s">
        <v>696</v>
      </c>
      <c r="AF190" s="150" t="s">
        <v>136</v>
      </c>
    </row>
    <row r="191" spans="3:33">
      <c r="C191" s="150"/>
      <c r="D191" s="150"/>
      <c r="E191" s="245">
        <f t="shared" si="4"/>
        <v>0</v>
      </c>
      <c r="F191" s="241">
        <v>19684245</v>
      </c>
      <c r="S191" s="154"/>
      <c r="AA191" s="154"/>
      <c r="AE191" s="150" t="s">
        <v>697</v>
      </c>
      <c r="AF191" s="150" t="s">
        <v>136</v>
      </c>
    </row>
    <row r="192" spans="3:33">
      <c r="C192" s="150"/>
      <c r="D192" s="150"/>
      <c r="E192" s="245">
        <f t="shared" si="4"/>
        <v>0</v>
      </c>
      <c r="F192" s="241">
        <v>77905425</v>
      </c>
      <c r="J192" s="150"/>
      <c r="K192" s="150"/>
      <c r="S192" s="154"/>
      <c r="T192" s="150" t="s">
        <v>111</v>
      </c>
      <c r="AE192" s="150" t="s">
        <v>698</v>
      </c>
      <c r="AF192" s="150" t="s">
        <v>124</v>
      </c>
    </row>
    <row r="193" spans="3:31">
      <c r="C193" s="150"/>
      <c r="D193" s="150"/>
      <c r="E193" s="245">
        <f t="shared" si="4"/>
        <v>0</v>
      </c>
      <c r="F193" s="241">
        <v>4441476</v>
      </c>
      <c r="J193" s="150"/>
      <c r="K193" s="150"/>
      <c r="S193" s="154"/>
    </row>
    <row r="194" spans="3:31">
      <c r="C194" s="150"/>
      <c r="D194" s="150"/>
      <c r="E194" s="245">
        <f t="shared" si="4"/>
        <v>0</v>
      </c>
      <c r="F194" s="241">
        <v>4266433</v>
      </c>
      <c r="J194" s="150"/>
      <c r="K194" s="150"/>
      <c r="S194" s="154"/>
    </row>
    <row r="195" spans="3:31">
      <c r="C195" s="150"/>
      <c r="D195" s="150"/>
      <c r="E195" s="245">
        <f t="shared" si="4"/>
        <v>0</v>
      </c>
      <c r="F195" s="241">
        <v>852429</v>
      </c>
      <c r="J195" s="150"/>
      <c r="K195" s="150"/>
      <c r="S195" s="154"/>
    </row>
    <row r="196" spans="3:31">
      <c r="C196" s="150"/>
      <c r="D196" s="150"/>
      <c r="E196" s="245">
        <f t="shared" si="4"/>
        <v>0</v>
      </c>
      <c r="F196" s="241">
        <v>852429</v>
      </c>
      <c r="H196" s="154"/>
      <c r="J196" s="150"/>
      <c r="K196" s="150"/>
      <c r="S196" s="154"/>
      <c r="T196" s="150" t="s">
        <v>112</v>
      </c>
    </row>
    <row r="197" spans="3:31">
      <c r="C197" s="150"/>
      <c r="D197" s="150"/>
      <c r="E197" s="245">
        <f t="shared" si="4"/>
        <v>0</v>
      </c>
      <c r="F197" s="242">
        <v>112121856</v>
      </c>
      <c r="H197" s="154"/>
      <c r="J197" s="150"/>
      <c r="K197" s="150"/>
      <c r="S197" s="154"/>
      <c r="AE197" s="154"/>
    </row>
    <row r="198" spans="3:31">
      <c r="C198" s="150"/>
      <c r="D198" s="150"/>
      <c r="E198" s="245">
        <f t="shared" si="4"/>
        <v>0</v>
      </c>
      <c r="F198" s="241">
        <v>95897725</v>
      </c>
      <c r="H198" s="154"/>
      <c r="J198" s="150"/>
      <c r="K198" s="150"/>
      <c r="S198" s="154"/>
      <c r="T198" s="150" t="s">
        <v>108</v>
      </c>
      <c r="U198" s="150" t="s">
        <v>111</v>
      </c>
      <c r="AE198" s="154"/>
    </row>
    <row r="199" spans="3:31">
      <c r="C199" s="150"/>
      <c r="D199" s="150"/>
      <c r="E199" s="245">
        <f t="shared" si="4"/>
        <v>0</v>
      </c>
      <c r="F199" s="242">
        <v>611033945</v>
      </c>
      <c r="H199" s="154"/>
      <c r="J199" s="150"/>
      <c r="K199" s="150"/>
      <c r="S199" s="154"/>
      <c r="AE199" s="154"/>
    </row>
    <row r="200" spans="3:31">
      <c r="C200" s="150"/>
      <c r="D200" s="150"/>
      <c r="F200" s="243"/>
      <c r="H200" s="154"/>
      <c r="J200" s="150"/>
      <c r="K200" s="150"/>
      <c r="S200" s="154"/>
      <c r="AE200" s="154"/>
    </row>
    <row r="201" spans="3:31">
      <c r="H201" s="193" t="e">
        <f ca="1">[3]!terbilang(H200)</f>
        <v>#NAME?</v>
      </c>
      <c r="J201" s="150"/>
      <c r="K201" s="150"/>
      <c r="S201" s="154"/>
      <c r="AE201" s="154"/>
    </row>
    <row r="202" spans="3:31">
      <c r="D202" s="193">
        <v>97846397</v>
      </c>
      <c r="E202" s="154">
        <v>2865371212</v>
      </c>
      <c r="F202" s="154">
        <v>89668307</v>
      </c>
      <c r="G202" s="154">
        <v>140646841</v>
      </c>
      <c r="H202" s="154"/>
      <c r="J202" s="150"/>
      <c r="K202" s="150"/>
      <c r="S202" s="154"/>
    </row>
    <row r="203" spans="3:31">
      <c r="D203" s="193"/>
      <c r="E203" s="154"/>
      <c r="F203" s="154"/>
      <c r="G203" s="154"/>
      <c r="H203" s="154"/>
      <c r="J203" s="150"/>
      <c r="K203" s="150"/>
      <c r="S203" s="154"/>
    </row>
    <row r="204" spans="3:31">
      <c r="D204" s="182" t="e">
        <f ca="1">[3]!terbilang(D202)</f>
        <v>#NAME?</v>
      </c>
      <c r="E204" s="193" t="e">
        <f ca="1">[3]!terbilang(E202)</f>
        <v>#NAME?</v>
      </c>
      <c r="F204" s="193" t="e">
        <f ca="1">[3]!terbilang(F202)</f>
        <v>#NAME?</v>
      </c>
      <c r="G204" s="193" t="e">
        <f ca="1">[3]!terbilang(G202)</f>
        <v>#NAME?</v>
      </c>
      <c r="H204" s="154"/>
      <c r="J204" s="150"/>
      <c r="K204" s="150"/>
      <c r="S204" s="154"/>
    </row>
    <row r="205" spans="3:31">
      <c r="C205" s="150"/>
      <c r="D205" s="193"/>
      <c r="E205" s="154"/>
      <c r="F205" s="154"/>
      <c r="G205" s="154"/>
      <c r="H205" s="154"/>
      <c r="J205" s="150"/>
      <c r="K205" s="150"/>
      <c r="S205" s="154"/>
    </row>
    <row r="206" spans="3:31">
      <c r="C206" s="150"/>
      <c r="D206" s="193">
        <v>14952300</v>
      </c>
      <c r="E206" s="154">
        <v>25686590</v>
      </c>
      <c r="F206" s="154">
        <v>12165006</v>
      </c>
      <c r="G206" s="154">
        <v>33728185</v>
      </c>
      <c r="H206" s="154"/>
      <c r="J206" s="150"/>
      <c r="K206" s="150"/>
      <c r="S206" s="154"/>
    </row>
    <row r="207" spans="3:31">
      <c r="C207" s="150"/>
      <c r="D207" s="193" t="e">
        <f ca="1">[3]!terbilang(D206)</f>
        <v>#NAME?</v>
      </c>
      <c r="E207" s="193" t="e">
        <f ca="1">[3]!terbilang(E206)</f>
        <v>#NAME?</v>
      </c>
      <c r="F207" s="193" t="e">
        <f ca="1">[3]!terbilang(F206)</f>
        <v>#NAME?</v>
      </c>
      <c r="G207" s="193" t="e">
        <f ca="1">[3]!terbilang(G206)</f>
        <v>#NAME?</v>
      </c>
      <c r="H207" s="154"/>
      <c r="J207" s="150"/>
      <c r="K207" s="150"/>
      <c r="S207" s="154"/>
    </row>
    <row r="208" spans="3:31">
      <c r="C208" s="150"/>
      <c r="D208" s="193"/>
      <c r="E208" s="193"/>
      <c r="F208" s="193"/>
      <c r="G208" s="193"/>
      <c r="H208" s="193" t="e">
        <f ca="1">[3]!terbilang(H206)</f>
        <v>#NAME?</v>
      </c>
      <c r="J208" s="150"/>
      <c r="K208" s="150"/>
      <c r="S208" s="154" t="s">
        <v>731</v>
      </c>
      <c r="T208" s="150" t="s">
        <v>732</v>
      </c>
    </row>
    <row r="209" spans="3:20">
      <c r="C209" s="150"/>
      <c r="D209" s="193">
        <v>48422213</v>
      </c>
      <c r="E209" s="154">
        <v>36753941</v>
      </c>
      <c r="F209" s="154">
        <v>31079686</v>
      </c>
      <c r="G209" s="154">
        <v>20004300</v>
      </c>
      <c r="H209" s="154"/>
      <c r="J209" s="150"/>
      <c r="K209" s="150"/>
      <c r="S209" s="154" t="s">
        <v>733</v>
      </c>
      <c r="T209" s="150">
        <v>222222</v>
      </c>
    </row>
    <row r="210" spans="3:20">
      <c r="C210" s="150"/>
      <c r="D210" s="193"/>
      <c r="E210" s="154"/>
      <c r="F210" s="154"/>
      <c r="G210" s="154"/>
      <c r="H210" s="154"/>
      <c r="J210" s="150"/>
      <c r="K210" s="150"/>
      <c r="S210" s="154"/>
    </row>
    <row r="211" spans="3:20">
      <c r="C211" s="150"/>
      <c r="D211" s="193" t="e">
        <f ca="1">[3]!terbilang(D209)</f>
        <v>#NAME?</v>
      </c>
      <c r="E211" s="193" t="e">
        <f ca="1">[3]!terbilang(E209)</f>
        <v>#NAME?</v>
      </c>
      <c r="F211" s="193" t="e">
        <f ca="1">[3]!terbilang(F209)</f>
        <v>#NAME?</v>
      </c>
      <c r="G211" s="193" t="e">
        <f ca="1">[3]!terbilang(G209)</f>
        <v>#NAME?</v>
      </c>
      <c r="H211" s="154"/>
      <c r="J211" s="150"/>
      <c r="K211" s="150"/>
    </row>
    <row r="212" spans="3:20">
      <c r="C212" s="150"/>
      <c r="D212" s="193">
        <v>59307925</v>
      </c>
      <c r="E212" s="154">
        <v>91714882</v>
      </c>
      <c r="F212" s="154">
        <v>50376375</v>
      </c>
      <c r="G212" s="154">
        <v>48653224</v>
      </c>
      <c r="H212" s="154"/>
      <c r="J212" s="150"/>
      <c r="K212" s="150"/>
    </row>
    <row r="213" spans="3:20">
      <c r="C213" s="150"/>
      <c r="D213" s="193"/>
      <c r="E213" s="154"/>
      <c r="F213" s="154"/>
      <c r="G213" s="154"/>
      <c r="H213" s="154"/>
      <c r="J213" s="150"/>
      <c r="K213" s="150"/>
    </row>
    <row r="214" spans="3:20">
      <c r="C214" s="150"/>
      <c r="D214" s="193" t="e">
        <f ca="1">[3]!terbilang(D212)</f>
        <v>#NAME?</v>
      </c>
      <c r="E214" s="193" t="e">
        <f ca="1">[3]!terbilang(E212)</f>
        <v>#NAME?</v>
      </c>
      <c r="F214" s="193" t="e">
        <f ca="1">[3]!terbilang(F212)</f>
        <v>#NAME?</v>
      </c>
      <c r="G214" s="193" t="e">
        <f ca="1">[3]!terbilang(G212)</f>
        <v>#NAME?</v>
      </c>
      <c r="J214" s="150"/>
      <c r="K214" s="150"/>
    </row>
    <row r="215" spans="3:20">
      <c r="C215" s="150"/>
      <c r="D215" s="193"/>
      <c r="E215" s="154"/>
      <c r="F215" s="154"/>
      <c r="G215" s="154"/>
      <c r="J215" s="150"/>
      <c r="K215" s="150"/>
    </row>
    <row r="216" spans="3:20">
      <c r="C216" s="150"/>
      <c r="D216" s="193"/>
      <c r="E216" s="154"/>
      <c r="F216" s="154"/>
      <c r="G216" s="154"/>
      <c r="J216" s="150"/>
      <c r="K216" s="150"/>
    </row>
    <row r="217" spans="3:20">
      <c r="C217" s="150"/>
      <c r="D217" s="193"/>
      <c r="E217" s="154"/>
      <c r="F217" s="154"/>
      <c r="G217" s="154"/>
      <c r="J217" s="150"/>
      <c r="K217" s="150"/>
    </row>
    <row r="218" spans="3:20">
      <c r="C218" s="150"/>
      <c r="D218" s="193"/>
      <c r="E218" s="154"/>
      <c r="F218" s="154"/>
      <c r="G218" s="154"/>
      <c r="J218" s="150"/>
      <c r="K218" s="150"/>
    </row>
    <row r="219" spans="3:20">
      <c r="C219" s="150"/>
      <c r="D219" s="193"/>
      <c r="E219" s="154" t="s">
        <v>108</v>
      </c>
      <c r="F219" s="154"/>
      <c r="G219" s="154"/>
      <c r="J219" s="150"/>
      <c r="K219" s="150"/>
    </row>
    <row r="221" spans="3:20">
      <c r="C221" s="150"/>
      <c r="D221" s="182" t="s">
        <v>112</v>
      </c>
      <c r="J221" s="150"/>
      <c r="K221" s="150"/>
    </row>
    <row r="222" spans="3:20">
      <c r="C222" s="150"/>
      <c r="E222" s="150" t="s">
        <v>111</v>
      </c>
      <c r="J222" s="150"/>
      <c r="K222" s="150"/>
    </row>
  </sheetData>
  <mergeCells count="61">
    <mergeCell ref="AH95:AJ95"/>
    <mergeCell ref="AH96:AJ96"/>
    <mergeCell ref="AE95:AG95"/>
    <mergeCell ref="AE96:AG96"/>
    <mergeCell ref="AE133:AF133"/>
    <mergeCell ref="AE134:AF134"/>
    <mergeCell ref="AE135:AF135"/>
    <mergeCell ref="AE116:AF116"/>
    <mergeCell ref="Y110:Z110"/>
    <mergeCell ref="Y111:Z111"/>
    <mergeCell ref="Y112:Z112"/>
    <mergeCell ref="Y95:AA95"/>
    <mergeCell ref="Y96:AA96"/>
    <mergeCell ref="V95:W95"/>
    <mergeCell ref="V96:W96"/>
    <mergeCell ref="V103:W103"/>
    <mergeCell ref="V104:W104"/>
    <mergeCell ref="V105:W105"/>
    <mergeCell ref="AM93:AO93"/>
    <mergeCell ref="C4:AG4"/>
    <mergeCell ref="A86:B86"/>
    <mergeCell ref="AD93:AF93"/>
    <mergeCell ref="AG93:AI93"/>
    <mergeCell ref="AJ93:AL93"/>
    <mergeCell ref="F95:G95"/>
    <mergeCell ref="H95:I95"/>
    <mergeCell ref="J95:K95"/>
    <mergeCell ref="F96:G96"/>
    <mergeCell ref="H96:I96"/>
    <mergeCell ref="J96:K96"/>
    <mergeCell ref="S120:T120"/>
    <mergeCell ref="M95:N95"/>
    <mergeCell ref="M96:N96"/>
    <mergeCell ref="P95:Q95"/>
    <mergeCell ref="P96:Q96"/>
    <mergeCell ref="S95:T95"/>
    <mergeCell ref="S96:T96"/>
    <mergeCell ref="J118:K118"/>
    <mergeCell ref="AM126:AN126"/>
    <mergeCell ref="J119:K119"/>
    <mergeCell ref="J120:K120"/>
    <mergeCell ref="S121:T121"/>
    <mergeCell ref="M118:N118"/>
    <mergeCell ref="M119:N119"/>
    <mergeCell ref="M120:N120"/>
    <mergeCell ref="P100:Q100"/>
    <mergeCell ref="P101:Q101"/>
    <mergeCell ref="P102:Q102"/>
    <mergeCell ref="S119:T119"/>
    <mergeCell ref="AE114:AF114"/>
    <mergeCell ref="AE115:AF115"/>
    <mergeCell ref="L133:N133"/>
    <mergeCell ref="P133:R133"/>
    <mergeCell ref="S153:U153"/>
    <mergeCell ref="AM127:AN127"/>
    <mergeCell ref="AM128:AN128"/>
    <mergeCell ref="AB95:AD95"/>
    <mergeCell ref="AB96:AD96"/>
    <mergeCell ref="AB100:AC100"/>
    <mergeCell ref="AB101:AC101"/>
    <mergeCell ref="AB102:AC102"/>
  </mergeCells>
  <pageMargins left="0.7" right="0.7" top="0.75" bottom="0.75" header="0.3" footer="0.3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7" workbookViewId="0">
      <selection activeCell="E44" sqref="E44"/>
    </sheetView>
  </sheetViews>
  <sheetFormatPr defaultRowHeight="15"/>
  <cols>
    <col min="2" max="2" width="14.42578125" customWidth="1"/>
    <col min="3" max="3" width="15.42578125" customWidth="1"/>
    <col min="4" max="4" width="13" customWidth="1"/>
    <col min="5" max="5" width="16" customWidth="1"/>
    <col min="6" max="6" width="15.7109375" bestFit="1" customWidth="1"/>
    <col min="7" max="7" width="12.140625" customWidth="1"/>
  </cols>
  <sheetData>
    <row r="1" spans="4:10">
      <c r="J1">
        <v>30</v>
      </c>
    </row>
    <row r="2" spans="4:10">
      <c r="D2" s="127" t="s">
        <v>501</v>
      </c>
      <c r="E2" s="127" t="s">
        <v>502</v>
      </c>
      <c r="F2" s="127" t="s">
        <v>241</v>
      </c>
      <c r="G2" s="127" t="s">
        <v>503</v>
      </c>
      <c r="H2" s="127" t="s">
        <v>500</v>
      </c>
    </row>
    <row r="3" spans="4:10" ht="15.75">
      <c r="D3" s="259">
        <v>44543</v>
      </c>
      <c r="E3" s="260" t="s">
        <v>495</v>
      </c>
      <c r="F3" s="261">
        <v>401693204</v>
      </c>
      <c r="G3" s="263">
        <f>D3+$J$1</f>
        <v>44573</v>
      </c>
      <c r="H3" s="262">
        <v>8.2000000000000003E-2</v>
      </c>
    </row>
    <row r="4" spans="4:10" ht="15.75">
      <c r="D4" s="259">
        <v>44543</v>
      </c>
      <c r="E4" s="260" t="s">
        <v>495</v>
      </c>
      <c r="F4" s="261">
        <v>271568176</v>
      </c>
      <c r="G4" s="263">
        <f t="shared" ref="G4:G13" si="0">D4+$J$1</f>
        <v>44573</v>
      </c>
      <c r="H4" s="262">
        <v>8.2000000000000003E-2</v>
      </c>
    </row>
    <row r="5" spans="4:10" ht="15.75">
      <c r="D5" s="259">
        <v>44543</v>
      </c>
      <c r="E5" s="260" t="s">
        <v>496</v>
      </c>
      <c r="F5" s="261">
        <v>1815268970</v>
      </c>
      <c r="G5" s="263">
        <f t="shared" si="0"/>
        <v>44573</v>
      </c>
      <c r="H5" s="262">
        <v>8.7999999999999995E-2</v>
      </c>
    </row>
    <row r="6" spans="4:10" ht="15.75">
      <c r="D6" s="259">
        <v>44543</v>
      </c>
      <c r="E6" s="260" t="s">
        <v>497</v>
      </c>
      <c r="F6" s="261">
        <v>1505724650</v>
      </c>
      <c r="G6" s="263">
        <f t="shared" si="0"/>
        <v>44573</v>
      </c>
      <c r="H6" s="262">
        <v>8.7999999999999995E-2</v>
      </c>
    </row>
    <row r="7" spans="4:10" ht="15.75">
      <c r="D7" s="259">
        <v>44543</v>
      </c>
      <c r="E7" s="260" t="s">
        <v>498</v>
      </c>
      <c r="F7" s="261">
        <v>302364000</v>
      </c>
      <c r="G7" s="263">
        <f t="shared" si="0"/>
        <v>44573</v>
      </c>
      <c r="H7" s="262">
        <v>8.7999999999999995E-2</v>
      </c>
    </row>
    <row r="8" spans="4:10" ht="15.75">
      <c r="D8" s="259">
        <v>44545</v>
      </c>
      <c r="E8" s="260" t="s">
        <v>495</v>
      </c>
      <c r="F8" s="261">
        <v>1383291529</v>
      </c>
      <c r="G8" s="263">
        <f t="shared" si="0"/>
        <v>44575</v>
      </c>
      <c r="H8" s="262">
        <v>8.7999999999999995E-2</v>
      </c>
    </row>
    <row r="9" spans="4:10" ht="15.75">
      <c r="D9" s="259">
        <v>44545</v>
      </c>
      <c r="E9" s="260" t="s">
        <v>496</v>
      </c>
      <c r="F9" s="261">
        <v>1179208564</v>
      </c>
      <c r="G9" s="263">
        <f t="shared" si="0"/>
        <v>44575</v>
      </c>
      <c r="H9" s="262">
        <v>8.7999999999999995E-2</v>
      </c>
    </row>
    <row r="10" spans="4:10" ht="15.75">
      <c r="D10" s="259">
        <v>44545</v>
      </c>
      <c r="E10" s="260" t="s">
        <v>498</v>
      </c>
      <c r="F10" s="261">
        <v>347516952</v>
      </c>
      <c r="G10" s="263">
        <f t="shared" si="0"/>
        <v>44575</v>
      </c>
      <c r="H10" s="262">
        <v>8.7999999999999995E-2</v>
      </c>
    </row>
    <row r="11" spans="4:10" ht="15.75">
      <c r="D11" s="259">
        <v>44547</v>
      </c>
      <c r="E11" s="260" t="s">
        <v>495</v>
      </c>
      <c r="F11" s="261">
        <v>480634579</v>
      </c>
      <c r="G11" s="263">
        <f t="shared" si="0"/>
        <v>44577</v>
      </c>
      <c r="H11" s="262">
        <v>8.2000000000000003E-2</v>
      </c>
    </row>
    <row r="12" spans="4:10" ht="15.75">
      <c r="D12" s="259">
        <v>44547</v>
      </c>
      <c r="E12" s="260" t="s">
        <v>495</v>
      </c>
      <c r="F12" s="261">
        <v>449232872</v>
      </c>
      <c r="G12" s="263">
        <f t="shared" si="0"/>
        <v>44577</v>
      </c>
      <c r="H12" s="262">
        <v>8.2000000000000003E-2</v>
      </c>
    </row>
    <row r="13" spans="4:10" ht="15.75">
      <c r="D13" s="259">
        <v>44547</v>
      </c>
      <c r="E13" s="260" t="s">
        <v>499</v>
      </c>
      <c r="F13" s="261">
        <v>393031246</v>
      </c>
      <c r="G13" s="263">
        <f t="shared" si="0"/>
        <v>44577</v>
      </c>
      <c r="H13" s="262">
        <v>8.7999999999999995E-2</v>
      </c>
    </row>
    <row r="15" spans="4:10">
      <c r="D15" s="264" t="s">
        <v>6</v>
      </c>
      <c r="E15" s="264"/>
      <c r="F15" s="265">
        <f>SUM(F3:F14)</f>
        <v>8529534742</v>
      </c>
    </row>
    <row r="18" spans="1:8">
      <c r="D18" s="127" t="s">
        <v>501</v>
      </c>
      <c r="E18" s="127" t="s">
        <v>502</v>
      </c>
      <c r="F18" s="127" t="s">
        <v>241</v>
      </c>
      <c r="G18" s="127" t="s">
        <v>503</v>
      </c>
      <c r="H18" s="127" t="s">
        <v>500</v>
      </c>
    </row>
    <row r="19" spans="1:8" ht="15.75">
      <c r="D19" s="259">
        <v>44543</v>
      </c>
      <c r="E19" s="260" t="s">
        <v>496</v>
      </c>
      <c r="F19" s="261">
        <v>1815268970</v>
      </c>
      <c r="G19" s="263">
        <f t="shared" ref="G19:G25" si="1">D19+$J$1</f>
        <v>44573</v>
      </c>
      <c r="H19" s="262">
        <v>8.7999999999999995E-2</v>
      </c>
    </row>
    <row r="20" spans="1:8" ht="15.75">
      <c r="D20" s="259">
        <v>44543</v>
      </c>
      <c r="E20" s="260" t="s">
        <v>497</v>
      </c>
      <c r="F20" s="261">
        <v>1505724650</v>
      </c>
      <c r="G20" s="263">
        <f t="shared" si="1"/>
        <v>44573</v>
      </c>
      <c r="H20" s="262">
        <v>8.7999999999999995E-2</v>
      </c>
    </row>
    <row r="21" spans="1:8" ht="15.75">
      <c r="D21" s="259">
        <v>44543</v>
      </c>
      <c r="E21" s="260" t="s">
        <v>498</v>
      </c>
      <c r="F21" s="261">
        <v>302364000</v>
      </c>
      <c r="G21" s="263">
        <f t="shared" si="1"/>
        <v>44573</v>
      </c>
      <c r="H21" s="262">
        <v>8.7999999999999995E-2</v>
      </c>
    </row>
    <row r="22" spans="1:8" ht="15.75">
      <c r="D22" s="259">
        <v>44545</v>
      </c>
      <c r="E22" s="260" t="s">
        <v>495</v>
      </c>
      <c r="F22" s="261">
        <v>1383291529</v>
      </c>
      <c r="G22" s="263">
        <f t="shared" si="1"/>
        <v>44575</v>
      </c>
      <c r="H22" s="262">
        <v>8.7999999999999995E-2</v>
      </c>
    </row>
    <row r="23" spans="1:8" ht="15.75">
      <c r="D23" s="259">
        <v>44545</v>
      </c>
      <c r="E23" s="260" t="s">
        <v>496</v>
      </c>
      <c r="F23" s="261">
        <v>1179208564</v>
      </c>
      <c r="G23" s="263">
        <f t="shared" si="1"/>
        <v>44575</v>
      </c>
      <c r="H23" s="262">
        <v>8.7999999999999995E-2</v>
      </c>
    </row>
    <row r="24" spans="1:8" ht="15.75">
      <c r="D24" s="259">
        <v>44545</v>
      </c>
      <c r="E24" s="260" t="s">
        <v>498</v>
      </c>
      <c r="F24" s="261">
        <v>347516952</v>
      </c>
      <c r="G24" s="263">
        <f t="shared" si="1"/>
        <v>44575</v>
      </c>
      <c r="H24" s="262">
        <v>8.7999999999999995E-2</v>
      </c>
    </row>
    <row r="25" spans="1:8" ht="15.75">
      <c r="D25" s="259">
        <v>44547</v>
      </c>
      <c r="E25" s="260" t="s">
        <v>499</v>
      </c>
      <c r="F25" s="261">
        <v>393031246</v>
      </c>
      <c r="G25" s="263">
        <f t="shared" si="1"/>
        <v>44577</v>
      </c>
      <c r="H25" s="262">
        <v>8.7999999999999995E-2</v>
      </c>
    </row>
    <row r="27" spans="1:8">
      <c r="D27" s="264" t="s">
        <v>6</v>
      </c>
      <c r="E27" s="264"/>
      <c r="F27" s="265">
        <f>SUM(F19:F26)</f>
        <v>6926405911</v>
      </c>
    </row>
    <row r="30" spans="1:8">
      <c r="A30" s="389" t="s">
        <v>662</v>
      </c>
      <c r="B30" s="389"/>
      <c r="C30" s="389"/>
      <c r="D30" s="389"/>
      <c r="E30" s="389"/>
      <c r="F30" s="389"/>
    </row>
    <row r="32" spans="1:8" ht="30">
      <c r="A32" s="322" t="s">
        <v>665</v>
      </c>
      <c r="B32" s="322" t="s">
        <v>659</v>
      </c>
      <c r="C32" s="323" t="s">
        <v>663</v>
      </c>
      <c r="D32" s="323" t="s">
        <v>660</v>
      </c>
      <c r="E32" s="323" t="s">
        <v>661</v>
      </c>
      <c r="F32" s="322" t="s">
        <v>664</v>
      </c>
    </row>
    <row r="33" spans="1:7">
      <c r="A33" s="130">
        <v>1</v>
      </c>
      <c r="B33" s="130">
        <v>220017224</v>
      </c>
      <c r="C33" s="131">
        <v>62356685</v>
      </c>
      <c r="D33" s="129">
        <v>44700</v>
      </c>
      <c r="E33" s="131">
        <v>68334701</v>
      </c>
      <c r="F33" s="321">
        <f>C33-E33</f>
        <v>-5978016</v>
      </c>
    </row>
    <row r="34" spans="1:7">
      <c r="A34" s="130">
        <v>2</v>
      </c>
      <c r="B34" s="130">
        <v>220017235</v>
      </c>
      <c r="C34" s="131">
        <v>136226941</v>
      </c>
      <c r="D34" s="129">
        <v>44700</v>
      </c>
      <c r="E34" s="131">
        <v>149286757</v>
      </c>
      <c r="F34" s="321">
        <f>C34-E34</f>
        <v>-13059816</v>
      </c>
    </row>
    <row r="35" spans="1:7">
      <c r="A35" s="130">
        <v>3</v>
      </c>
      <c r="B35" s="130">
        <v>220017239</v>
      </c>
      <c r="C35" s="131">
        <v>129150217</v>
      </c>
      <c r="D35" s="129">
        <v>44700</v>
      </c>
      <c r="E35" s="131">
        <v>141531601</v>
      </c>
      <c r="F35" s="321">
        <f>C35-E35</f>
        <v>-12381384</v>
      </c>
    </row>
    <row r="36" spans="1:7">
      <c r="A36" s="130">
        <v>4</v>
      </c>
      <c r="B36" s="130">
        <v>220017249</v>
      </c>
      <c r="C36" s="131">
        <v>56761997</v>
      </c>
      <c r="D36" s="129">
        <v>44700</v>
      </c>
      <c r="E36" s="131">
        <v>62203661</v>
      </c>
      <c r="F36" s="321">
        <f>C36-E36</f>
        <v>-5441664</v>
      </c>
    </row>
    <row r="37" spans="1:7">
      <c r="A37" s="324">
        <v>5</v>
      </c>
      <c r="B37" s="324">
        <v>220017526</v>
      </c>
      <c r="C37" s="131">
        <v>141516217</v>
      </c>
      <c r="D37" s="129">
        <v>44704</v>
      </c>
      <c r="E37" s="131">
        <v>141531601</v>
      </c>
      <c r="F37" s="131">
        <f>C37-E37</f>
        <v>-15384</v>
      </c>
    </row>
    <row r="38" spans="1:7">
      <c r="B38" s="264" t="s">
        <v>563</v>
      </c>
      <c r="C38" s="325"/>
      <c r="D38" s="264"/>
      <c r="E38" s="325"/>
      <c r="F38" s="265">
        <f>SUM(F33:F37)</f>
        <v>-36876264</v>
      </c>
      <c r="G38" s="264"/>
    </row>
    <row r="39" spans="1:7">
      <c r="C39" s="132"/>
      <c r="E39" s="132"/>
    </row>
  </sheetData>
  <mergeCells count="1">
    <mergeCell ref="A30:F30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T59"/>
  <sheetViews>
    <sheetView topLeftCell="C1" workbookViewId="0">
      <selection activeCell="E63" sqref="E63"/>
    </sheetView>
  </sheetViews>
  <sheetFormatPr defaultRowHeight="15"/>
  <cols>
    <col min="3" max="3" width="11.85546875" customWidth="1"/>
    <col min="4" max="4" width="10" customWidth="1"/>
    <col min="5" max="5" width="2.140625" customWidth="1"/>
    <col min="6" max="6" width="11.140625" customWidth="1"/>
    <col min="7" max="7" width="2.140625" customWidth="1"/>
    <col min="8" max="8" width="10" customWidth="1"/>
    <col min="9" max="9" width="2.28515625" customWidth="1"/>
    <col min="10" max="10" width="9.42578125" customWidth="1"/>
    <col min="11" max="11" width="2.7109375" customWidth="1"/>
    <col min="12" max="12" width="10.42578125" customWidth="1"/>
    <col min="13" max="13" width="2.42578125" customWidth="1"/>
    <col min="14" max="14" width="10.85546875" customWidth="1"/>
    <col min="15" max="15" width="4.85546875" customWidth="1"/>
    <col min="17" max="17" width="18.140625" customWidth="1"/>
    <col min="18" max="18" width="11.5703125" bestFit="1" customWidth="1"/>
    <col min="19" max="19" width="15.5703125" customWidth="1"/>
    <col min="20" max="20" width="14.42578125" customWidth="1"/>
  </cols>
  <sheetData>
    <row r="3" spans="3:20">
      <c r="R3" s="127" t="s">
        <v>445</v>
      </c>
      <c r="T3" s="127" t="s">
        <v>881</v>
      </c>
    </row>
    <row r="4" spans="3:20">
      <c r="R4" s="131">
        <v>45436000</v>
      </c>
      <c r="T4" s="363">
        <v>44792</v>
      </c>
    </row>
    <row r="5" spans="3:20">
      <c r="C5" s="346" t="s">
        <v>120</v>
      </c>
      <c r="D5" s="346" t="s">
        <v>133</v>
      </c>
      <c r="F5" s="346" t="s">
        <v>134</v>
      </c>
      <c r="H5" s="346" t="s">
        <v>124</v>
      </c>
      <c r="J5" s="346" t="s">
        <v>132</v>
      </c>
      <c r="K5" s="346"/>
      <c r="L5" s="346" t="s">
        <v>123</v>
      </c>
      <c r="N5" s="346" t="s">
        <v>127</v>
      </c>
      <c r="R5" s="131">
        <v>45436000</v>
      </c>
      <c r="T5" s="363">
        <v>44792</v>
      </c>
    </row>
    <row r="6" spans="3:20">
      <c r="C6" s="346" t="s">
        <v>751</v>
      </c>
      <c r="D6" s="346" t="s">
        <v>753</v>
      </c>
      <c r="F6" s="346" t="s">
        <v>755</v>
      </c>
      <c r="H6" s="346" t="s">
        <v>757</v>
      </c>
      <c r="J6" s="346" t="s">
        <v>759</v>
      </c>
      <c r="K6" s="346"/>
      <c r="L6" s="346" t="s">
        <v>761</v>
      </c>
      <c r="N6" s="346" t="s">
        <v>763</v>
      </c>
      <c r="R6" s="131">
        <v>32925750</v>
      </c>
      <c r="T6" s="363">
        <v>44795</v>
      </c>
    </row>
    <row r="7" spans="3:20">
      <c r="C7" s="346" t="s">
        <v>752</v>
      </c>
      <c r="D7" s="346" t="s">
        <v>754</v>
      </c>
      <c r="F7" s="346" t="s">
        <v>756</v>
      </c>
      <c r="H7" s="346" t="s">
        <v>758</v>
      </c>
      <c r="J7" s="346" t="s">
        <v>760</v>
      </c>
      <c r="K7" s="346"/>
      <c r="L7" s="346" t="s">
        <v>762</v>
      </c>
      <c r="N7" s="346" t="s">
        <v>756</v>
      </c>
      <c r="R7" s="131">
        <v>41982250</v>
      </c>
      <c r="T7" s="363">
        <v>44795</v>
      </c>
    </row>
    <row r="8" spans="3:20">
      <c r="C8" s="346">
        <v>123456</v>
      </c>
      <c r="D8" s="346">
        <v>123456</v>
      </c>
      <c r="F8" s="346">
        <v>123456</v>
      </c>
      <c r="H8" s="346">
        <v>123456</v>
      </c>
      <c r="J8" s="346">
        <v>123456</v>
      </c>
      <c r="K8" s="346"/>
      <c r="L8" s="346">
        <v>123456</v>
      </c>
      <c r="N8" s="346">
        <v>123456</v>
      </c>
      <c r="R8" s="131">
        <v>48889750</v>
      </c>
      <c r="T8" s="363">
        <v>44795</v>
      </c>
    </row>
    <row r="9" spans="3:20">
      <c r="R9" s="131">
        <v>32925750</v>
      </c>
      <c r="T9" s="363">
        <v>44795</v>
      </c>
    </row>
    <row r="10" spans="3:20">
      <c r="R10" s="131">
        <v>45435000</v>
      </c>
      <c r="T10" s="363">
        <v>44799</v>
      </c>
    </row>
    <row r="11" spans="3:20">
      <c r="R11" s="131">
        <v>45436000</v>
      </c>
      <c r="T11" s="363">
        <v>44799</v>
      </c>
    </row>
    <row r="15" spans="3:20">
      <c r="R15">
        <v>45436000</v>
      </c>
      <c r="T15">
        <v>44792</v>
      </c>
    </row>
    <row r="16" spans="3:20">
      <c r="P16" s="363">
        <f t="shared" ref="P16:P23" si="0">N16+O16</f>
        <v>0</v>
      </c>
      <c r="Q16" s="364">
        <v>45436000</v>
      </c>
      <c r="R16">
        <v>45436000</v>
      </c>
      <c r="T16">
        <v>44792</v>
      </c>
    </row>
    <row r="17" spans="16:20">
      <c r="P17" s="363">
        <f t="shared" si="0"/>
        <v>0</v>
      </c>
      <c r="Q17" s="364">
        <v>45436000</v>
      </c>
      <c r="R17">
        <v>32925750</v>
      </c>
      <c r="T17">
        <v>44795</v>
      </c>
    </row>
    <row r="18" spans="16:20">
      <c r="P18" s="363">
        <f>N18+O18</f>
        <v>0</v>
      </c>
      <c r="Q18" s="364">
        <v>32925750</v>
      </c>
      <c r="R18">
        <v>41982250</v>
      </c>
      <c r="T18">
        <v>44795</v>
      </c>
    </row>
    <row r="19" spans="16:20">
      <c r="P19" s="363">
        <f>N19+O19</f>
        <v>0</v>
      </c>
      <c r="Q19" s="364">
        <v>41982250</v>
      </c>
      <c r="R19">
        <v>48889750</v>
      </c>
      <c r="T19">
        <v>44795</v>
      </c>
    </row>
    <row r="20" spans="16:20">
      <c r="P20" s="363">
        <f>N20+O20</f>
        <v>0</v>
      </c>
      <c r="Q20" s="364">
        <v>48889750</v>
      </c>
      <c r="R20">
        <v>32925750</v>
      </c>
      <c r="T20">
        <v>44795</v>
      </c>
    </row>
    <row r="21" spans="16:20">
      <c r="P21" s="363">
        <f>N21+O21</f>
        <v>0</v>
      </c>
      <c r="Q21" s="364">
        <v>32925750</v>
      </c>
      <c r="R21">
        <v>45435000</v>
      </c>
      <c r="T21">
        <v>44799</v>
      </c>
    </row>
    <row r="22" spans="16:20">
      <c r="P22" s="363">
        <f t="shared" si="0"/>
        <v>0</v>
      </c>
      <c r="Q22" s="364">
        <v>45435000</v>
      </c>
      <c r="R22">
        <v>45436000</v>
      </c>
      <c r="T22">
        <v>44799</v>
      </c>
    </row>
    <row r="23" spans="16:20">
      <c r="P23" s="363">
        <f t="shared" si="0"/>
        <v>0</v>
      </c>
      <c r="Q23" s="364">
        <v>45436000</v>
      </c>
    </row>
    <row r="30" spans="16:20">
      <c r="R30" s="127" t="s">
        <v>445</v>
      </c>
      <c r="S30" s="127" t="s">
        <v>896</v>
      </c>
    </row>
    <row r="31" spans="16:20">
      <c r="R31" s="377">
        <v>378857866</v>
      </c>
      <c r="S31" s="376">
        <v>44852</v>
      </c>
    </row>
    <row r="32" spans="16:20">
      <c r="R32" s="377">
        <v>404452321</v>
      </c>
      <c r="S32" s="376">
        <v>44852</v>
      </c>
    </row>
    <row r="33" spans="17:19">
      <c r="R33" s="377">
        <v>412489154</v>
      </c>
      <c r="S33" s="376">
        <v>44855</v>
      </c>
    </row>
    <row r="34" spans="17:19">
      <c r="R34" s="377">
        <v>396522220</v>
      </c>
      <c r="S34" s="376">
        <v>44855</v>
      </c>
    </row>
    <row r="35" spans="17:19">
      <c r="R35" s="377">
        <v>402049049</v>
      </c>
      <c r="S35" s="376">
        <v>44855</v>
      </c>
    </row>
    <row r="36" spans="17:19">
      <c r="R36" s="377">
        <v>412489154</v>
      </c>
      <c r="S36" s="376">
        <v>44856</v>
      </c>
    </row>
    <row r="37" spans="17:19">
      <c r="R37" s="377">
        <v>405113456</v>
      </c>
      <c r="S37" s="376">
        <v>44856</v>
      </c>
    </row>
    <row r="38" spans="17:19">
      <c r="R38" s="377">
        <v>397697349</v>
      </c>
      <c r="S38" s="376">
        <v>44856</v>
      </c>
    </row>
    <row r="39" spans="17:19">
      <c r="R39" s="377">
        <v>386360509</v>
      </c>
      <c r="S39" s="376">
        <v>44856</v>
      </c>
    </row>
    <row r="40" spans="17:19">
      <c r="R40" s="377">
        <v>393745638</v>
      </c>
      <c r="S40" s="376">
        <v>44857</v>
      </c>
    </row>
    <row r="48" spans="17:19" ht="15.75">
      <c r="Q48" s="375">
        <v>44816</v>
      </c>
      <c r="R48" s="260" t="s">
        <v>495</v>
      </c>
      <c r="S48" s="374">
        <v>516597448</v>
      </c>
    </row>
    <row r="49" spans="17:20" ht="15.75">
      <c r="Q49" s="375">
        <v>44816</v>
      </c>
      <c r="R49" s="260" t="s">
        <v>496</v>
      </c>
      <c r="S49" s="374">
        <v>828789873</v>
      </c>
    </row>
    <row r="50" spans="17:20" ht="15.75">
      <c r="Q50" s="375">
        <v>44818</v>
      </c>
      <c r="R50" s="260" t="s">
        <v>495</v>
      </c>
      <c r="S50" s="374">
        <v>1418736802</v>
      </c>
    </row>
    <row r="51" spans="17:20" ht="15.75">
      <c r="Q51" s="375">
        <v>44818</v>
      </c>
      <c r="R51" s="260" t="s">
        <v>496</v>
      </c>
      <c r="S51" s="374">
        <v>2193925538</v>
      </c>
      <c r="T51" s="133">
        <f>SUM(S48:S51)</f>
        <v>4958049661</v>
      </c>
    </row>
    <row r="52" spans="17:20" ht="15.75">
      <c r="Q52" s="375">
        <v>44818</v>
      </c>
      <c r="R52" s="260" t="s">
        <v>897</v>
      </c>
      <c r="S52" s="373">
        <v>626849893</v>
      </c>
    </row>
    <row r="53" spans="17:20" ht="15.75">
      <c r="Q53" s="375">
        <v>44818</v>
      </c>
      <c r="R53" s="260" t="s">
        <v>897</v>
      </c>
      <c r="S53" s="373">
        <v>399697742</v>
      </c>
    </row>
    <row r="54" spans="17:20" ht="15.75">
      <c r="Q54" s="375">
        <v>44820</v>
      </c>
      <c r="R54" s="260" t="s">
        <v>495</v>
      </c>
      <c r="S54" s="373">
        <v>1729587622</v>
      </c>
    </row>
    <row r="55" spans="17:20" ht="15.75">
      <c r="Q55" s="375">
        <v>44820</v>
      </c>
      <c r="R55" s="260" t="s">
        <v>898</v>
      </c>
      <c r="S55" s="373">
        <v>318432838</v>
      </c>
    </row>
    <row r="56" spans="17:20" ht="15.75">
      <c r="Q56" s="375">
        <v>44823</v>
      </c>
      <c r="R56" s="260" t="s">
        <v>495</v>
      </c>
      <c r="S56" s="373">
        <v>871073050</v>
      </c>
      <c r="T56" s="133">
        <f>SUM(S52:S56)</f>
        <v>3945641145</v>
      </c>
    </row>
    <row r="57" spans="17:20" ht="15.75">
      <c r="Q57" s="375">
        <v>44823</v>
      </c>
      <c r="R57" s="260" t="s">
        <v>496</v>
      </c>
      <c r="S57" s="372">
        <v>2001573220</v>
      </c>
    </row>
    <row r="58" spans="17:20" ht="15.75">
      <c r="Q58" s="375">
        <v>44823</v>
      </c>
      <c r="R58" s="260" t="s">
        <v>897</v>
      </c>
      <c r="S58" s="372">
        <v>536627450</v>
      </c>
    </row>
    <row r="59" spans="17:20" ht="15.75">
      <c r="Q59" s="375">
        <v>44823</v>
      </c>
      <c r="R59" s="260" t="s">
        <v>898</v>
      </c>
      <c r="S59" s="372">
        <v>496906590</v>
      </c>
      <c r="T59" s="133">
        <f>SUM(S57:S59)</f>
        <v>3035107260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15</vt:i4>
      </vt:variant>
    </vt:vector>
  </HeadingPairs>
  <TitlesOfParts>
    <vt:vector size="43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Sheet18</vt:lpstr>
      <vt:lpstr>Sheet19</vt:lpstr>
      <vt:lpstr>Sheet20</vt:lpstr>
      <vt:lpstr>Sheet21</vt:lpstr>
      <vt:lpstr>Sheet22</vt:lpstr>
      <vt:lpstr>Sheet23</vt:lpstr>
      <vt:lpstr>Sheet24</vt:lpstr>
      <vt:lpstr>Sheet25</vt:lpstr>
      <vt:lpstr>Sheet26</vt:lpstr>
      <vt:lpstr>Sheet28</vt:lpstr>
      <vt:lpstr>Sheet17</vt:lpstr>
      <vt:lpstr>Sheet27</vt:lpstr>
      <vt:lpstr>Sheet1!Print_Area</vt:lpstr>
      <vt:lpstr>Sheet10!Print_Area</vt:lpstr>
      <vt:lpstr>Sheet11!Print_Area</vt:lpstr>
      <vt:lpstr>Sheet12!Print_Area</vt:lpstr>
      <vt:lpstr>Sheet13!Print_Area</vt:lpstr>
      <vt:lpstr>Sheet14!Print_Area</vt:lpstr>
      <vt:lpstr>Sheet15!Print_Area</vt:lpstr>
      <vt:lpstr>Sheet17!Print_Area</vt:lpstr>
      <vt:lpstr>Sheet18!Print_Area</vt:lpstr>
      <vt:lpstr>Sheet2!Print_Area</vt:lpstr>
      <vt:lpstr>Sheet26!Print_Area</vt:lpstr>
      <vt:lpstr>Sheet27!Print_Area</vt:lpstr>
      <vt:lpstr>Sheet28!Print_Area</vt:lpstr>
      <vt:lpstr>Sheet3!Print_Area</vt:lpstr>
      <vt:lpstr>Sheet9!Print_Area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300-20K</cp:lastModifiedBy>
  <cp:lastPrinted>2022-10-15T03:05:39Z</cp:lastPrinted>
  <dcterms:created xsi:type="dcterms:W3CDTF">2020-08-22T07:06:32Z</dcterms:created>
  <dcterms:modified xsi:type="dcterms:W3CDTF">2022-10-18T02:08:41Z</dcterms:modified>
</cp:coreProperties>
</file>